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49.xml" ContentType="application/vnd.openxmlformats-officedocument.drawingml.chart+xml"/>
  <Override PartName="/xl/drawings/drawing28.xml" ContentType="application/vnd.openxmlformats-officedocument.drawingml.chartshapes+xml"/>
  <Override PartName="/xl/charts/chart50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R007 Skills Imperative 2035 revised projections/Projections/Regional_national/Main tables/"/>
    </mc:Choice>
  </mc:AlternateContent>
  <xr:revisionPtr revIDLastSave="5" documentId="13_ncr:1_{8B3AD6CF-3564-4198-A39F-BF61532C676E}" xr6:coauthVersionLast="47" xr6:coauthVersionMax="47" xr10:uidLastSave="{AE6DFB46-5475-4C5C-BE54-AB9F5223BA5C}"/>
  <bookViews>
    <workbookView xWindow="-69" yWindow="-69" windowWidth="19475" windowHeight="12309" tabRatio="880" firstSheet="1" activeTab="4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5" i="71" l="1"/>
  <c r="H8" i="71"/>
  <c r="C40" i="18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78" i="71" l="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L107" i="49" s="1" a="1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BX24" i="78" l="1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3" i="49"/>
  <c r="L114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82" i="7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N63" i="49" l="1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BF6" i="78"/>
  <c r="AX109" i="78"/>
  <c r="AX88" i="78"/>
  <c r="AX91" i="78"/>
  <c r="AX97" i="78"/>
  <c r="AU43" i="78"/>
  <c r="AX103" i="78"/>
  <c r="AX94" i="78"/>
  <c r="AX106" i="78"/>
  <c r="AX80" i="78"/>
  <c r="AX89" i="78"/>
  <c r="AX95" i="78"/>
  <c r="AX100" i="78"/>
  <c r="AX98" i="78"/>
  <c r="AX99" i="78"/>
  <c r="AX90" i="78"/>
  <c r="AX85" i="78"/>
  <c r="AX83" i="78"/>
  <c r="AX105" i="78"/>
  <c r="AX86" i="78"/>
  <c r="AX101" i="78"/>
  <c r="AX96" i="78"/>
  <c r="AX102" i="78"/>
  <c r="AX84" i="78"/>
  <c r="AX82" i="78"/>
  <c r="AX104" i="78"/>
  <c r="AX92" i="78"/>
  <c r="AX93" i="78"/>
  <c r="AX87" i="78"/>
  <c r="AH38" i="78"/>
  <c r="AH75" i="78"/>
  <c r="AH112" i="78"/>
  <c r="BE6" i="78"/>
  <c r="BD1" i="78" s="1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W96" i="78" l="1"/>
  <c r="AW102" i="78"/>
  <c r="AW104" i="78"/>
  <c r="AW90" i="78"/>
  <c r="AW117" i="78"/>
  <c r="AV107" i="78"/>
  <c r="BH6" i="78"/>
  <c r="BH98" i="78" s="1"/>
  <c r="AW43" i="78"/>
  <c r="BI107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BE107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10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BH100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BH109" i="78"/>
  <c r="BH86" i="78"/>
  <c r="AU117" i="78"/>
  <c r="AU91" i="78"/>
  <c r="AU83" i="78"/>
  <c r="AV82" i="78"/>
  <c r="AV109" i="78"/>
  <c r="AV102" i="78"/>
  <c r="BH93" i="78"/>
  <c r="BH95" i="78"/>
  <c r="BH103" i="78"/>
  <c r="AU94" i="78"/>
  <c r="AU97" i="78"/>
  <c r="AU99" i="78"/>
  <c r="AV93" i="78"/>
  <c r="AV85" i="78"/>
  <c r="AV99" i="78"/>
  <c r="BH83" i="78"/>
  <c r="BH90" i="78"/>
  <c r="BH80" i="78"/>
  <c r="BH106" i="78"/>
  <c r="AU82" i="78"/>
  <c r="AU102" i="78"/>
  <c r="AU109" i="78"/>
  <c r="AU84" i="78"/>
  <c r="AU93" i="78"/>
  <c r="AV106" i="78"/>
  <c r="AV89" i="78"/>
  <c r="AV87" i="78"/>
  <c r="AV104" i="78"/>
  <c r="BH96" i="78"/>
  <c r="BH117" i="78"/>
  <c r="BH88" i="78"/>
  <c r="BH84" i="78"/>
  <c r="AE49" i="76"/>
  <c r="AD72" i="78"/>
  <c r="AD109" i="78" s="1"/>
  <c r="BH91" i="78"/>
  <c r="BH82" i="78"/>
  <c r="BH89" i="78"/>
  <c r="BH97" i="78"/>
  <c r="V8" i="79"/>
  <c r="AD35" i="79"/>
  <c r="Z35" i="79"/>
  <c r="AE35" i="79"/>
  <c r="Y35" i="79"/>
  <c r="AF35" i="79"/>
  <c r="AG35" i="79"/>
  <c r="AB35" i="79"/>
  <c r="AC35" i="79"/>
  <c r="AA35" i="79"/>
  <c r="BH102" i="78"/>
  <c r="BH105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92" i="78" l="1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7" i="76" l="1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<sst xmlns="http://schemas.openxmlformats.org/spreadsheetml/2006/main" count="3243" uniqueCount="547">
  <si>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</si>
  <si>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</si>
  <si>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</si>
  <si>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</si>
  <si>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</si>
  <si>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</si>
  <si>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</si>
  <si>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</si>
  <si>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</si>
  <si>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</si>
  <si>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</si>
  <si>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</si>
  <si>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</si>
  <si>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</si>
  <si>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</si>
  <si>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</si>
  <si>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</si>
  <si>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</si>
  <si>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</si>
  <si>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</si>
  <si>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</si>
  <si>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</si>
  <si>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</si>
  <si>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</si>
  <si>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</si>
  <si>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</si>
  <si>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</si>
  <si>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</si>
  <si>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</si>
  <si>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</si>
  <si>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</si>
  <si>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</si>
  <si>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</si>
  <si>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</si>
  <si>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</si>
  <si>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</si>
  <si>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</si>
  <si>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</si>
  <si>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</si>
  <si>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</si>
  <si>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</si>
  <si>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</si>
  <si>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</si>
  <si>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</si>
  <si>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</si>
  <si>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</si>
  <si>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</si>
  <si>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</si>
  <si>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</si>
  <si>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</si>
  <si>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</si>
  <si>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</si>
  <si>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</si>
  <si>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</si>
  <si>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</si>
  <si>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</si>
  <si>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</si>
  <si>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</si>
  <si>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</si>
  <si>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</si>
  <si>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</si>
  <si>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</si>
  <si>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</si>
  <si>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</si>
  <si>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</si>
  <si>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</si>
  <si>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</si>
  <si>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</si>
  <si>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</si>
  <si>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</si>
  <si>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</si>
  <si>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</si>
  <si>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</si>
  <si>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</si>
  <si>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</si>
  <si>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</si>
  <si>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</si>
  <si>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</si>
  <si>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</si>
  <si>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</si>
  <si>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</si>
  <si>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</si>
  <si>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</si>
  <si>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</si>
  <si>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</si>
  <si>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</si>
  <si>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</si>
  <si>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</si>
  <si>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</si>
  <si>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</si>
  <si>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</si>
  <si>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</si>
  <si>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</si>
  <si>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</si>
  <si>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</si>
  <si>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</si>
  <si>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</si>
  <si>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</si>
  <si>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</si>
  <si>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</si>
  <si>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</si>
  <si>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</si>
  <si>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</si>
  <si>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</si>
  <si>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</si>
  <si>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</si>
  <si>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</si>
  <si>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</si>
  <si>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</si>
  <si>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</si>
  <si>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</si>
  <si>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</si>
  <si>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</si>
  <si>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</si>
  <si>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</si>
  <si>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</si>
  <si>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</si>
  <si>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</si>
  <si>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</si>
  <si>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</si>
  <si>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</si>
  <si>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</si>
  <si>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</si>
  <si>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</si>
  <si>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</si>
  <si>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</si>
  <si>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</si>
  <si>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</si>
  <si>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</si>
  <si>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</si>
  <si>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</si>
  <si>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</si>
  <si>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</si>
  <si>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</si>
  <si>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</si>
  <si>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</si>
  <si>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</si>
  <si>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</si>
  <si>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</si>
  <si>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</si>
  <si>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</si>
  <si>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</si>
  <si>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</si>
  <si>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</si>
  <si>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</si>
  <si>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</si>
  <si>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</si>
  <si>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</si>
  <si>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</si>
  <si>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</si>
  <si>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</si>
  <si>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</si>
  <si>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</si>
  <si>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</si>
  <si>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</si>
  <si>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</si>
  <si>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</si>
  <si>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</si>
  <si>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</si>
  <si>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</si>
  <si>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</si>
  <si>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</si>
  <si>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</si>
  <si>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</si>
  <si>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</si>
  <si>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</si>
  <si>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</si>
  <si>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</si>
  <si>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</si>
  <si>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</si>
  <si>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</si>
  <si>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</si>
  <si>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</si>
  <si>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</si>
  <si>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</si>
  <si>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</si>
  <si>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</si>
  <si>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</si>
  <si>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</si>
  <si>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</si>
  <si>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</si>
  <si>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</si>
  <si>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</si>
  <si>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</si>
  <si>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</si>
  <si>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</si>
  <si>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</si>
  <si>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</si>
  <si>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</si>
  <si>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</si>
  <si>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</si>
  <si>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</si>
  <si>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</si>
  <si>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</si>
  <si>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</si>
  <si>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</si>
  <si>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</si>
  <si>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</si>
  <si>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</si>
  <si>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</si>
  <si>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</si>
  <si>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</si>
  <si>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</si>
  <si>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</si>
  <si>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</si>
  <si>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</si>
  <si>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</si>
  <si>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</si>
  <si>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</si>
  <si>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</si>
  <si>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</si>
  <si>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</si>
  <si>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</si>
  <si>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</si>
  <si>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</si>
  <si>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</si>
  <si>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</si>
  <si>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</si>
  <si>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</si>
  <si>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</si>
  <si>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</si>
  <si>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</si>
  <si>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</si>
  <si>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</si>
  <si>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</si>
  <si>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</si>
  <si>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</si>
  <si>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</si>
  <si>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</si>
  <si>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</si>
  <si>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</si>
  <si>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</si>
  <si>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</si>
  <si>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</si>
  <si>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</si>
  <si>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</si>
  <si>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</si>
  <si>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</si>
  <si>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</si>
  <si>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</si>
  <si>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</si>
  <si>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</si>
  <si>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</si>
  <si>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</si>
  <si>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</si>
  <si>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</si>
  <si>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</si>
  <si>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</si>
  <si>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</si>
  <si>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</si>
  <si>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</si>
  <si>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</si>
  <si>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</si>
  <si>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</si>
  <si>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</si>
  <si>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</si>
  <si>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</si>
  <si>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</si>
  <si>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</si>
  <si>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</si>
  <si>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</si>
  <si>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</si>
  <si>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</si>
  <si>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</si>
  <si>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</si>
  <si>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</si>
  <si>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</si>
  <si>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</si>
  <si>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</si>
  <si>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</si>
  <si>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</si>
  <si>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</si>
  <si>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</si>
  <si>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</si>
  <si>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</si>
  <si>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</si>
  <si>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</si>
  <si>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</si>
  <si>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</si>
  <si>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</si>
  <si>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</si>
  <si>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</si>
  <si>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</si>
  <si>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</si>
  <si>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</si>
  <si>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</si>
  <si>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</si>
  <si>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</si>
  <si>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</si>
  <si>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</si>
  <si>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</si>
  <si>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</si>
  <si>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</si>
  <si>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</si>
  <si>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</si>
  <si>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</si>
  <si>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</si>
  <si>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</si>
  <si>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</si>
  <si>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</si>
  <si>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</si>
  <si>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</si>
  <si>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</si>
  <si>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</si>
  <si>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</si>
  <si>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</si>
  <si>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</si>
  <si>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</si>
  <si>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</si>
  <si>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</si>
  <si>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</si>
  <si>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</si>
  <si>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</si>
  <si>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</si>
  <si>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</si>
  <si>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</si>
  <si>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</si>
  <si>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</si>
  <si>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</si>
  <si>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</si>
  <si>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</si>
  <si>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</si>
  <si>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</si>
  <si>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</si>
  <si>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</si>
  <si>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</si>
  <si>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</si>
  <si>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</si>
  <si>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</si>
  <si>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</si>
  <si>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</si>
  <si>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</si>
  <si>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</si>
  <si>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</si>
  <si>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</si>
  <si>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</si>
  <si>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</si>
  <si>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</si>
  <si>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</si>
  <si>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</si>
  <si>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</si>
  <si>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</si>
  <si>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</si>
  <si>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</si>
  <si>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</si>
  <si>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</si>
  <si>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</si>
  <si>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</si>
  <si>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</si>
  <si>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</si>
  <si>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</si>
  <si>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</si>
  <si>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</si>
  <si>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</si>
  <si>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</si>
  <si>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</si>
  <si>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</si>
  <si>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</si>
  <si>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</si>
  <si>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</si>
  <si>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</si>
  <si>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</si>
  <si>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</si>
  <si>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</si>
  <si>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</si>
  <si>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</si>
  <si>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</si>
  <si>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</si>
  <si>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</si>
  <si>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</si>
  <si>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</si>
  <si>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</si>
  <si>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</si>
  <si>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</si>
  <si>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</si>
  <si>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</si>
  <si>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</si>
  <si>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</si>
  <si>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</si>
  <si>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</si>
  <si>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</si>
  <si>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</si>
  <si>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</si>
  <si>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</si>
  <si>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</si>
  <si>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</si>
  <si>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</si>
  <si>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</si>
  <si>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</si>
  <si>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</si>
  <si>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</si>
  <si>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</si>
  <si>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</si>
  <si>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</si>
  <si>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</si>
  <si>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</si>
  <si>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</si>
  <si>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</si>
  <si>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</si>
  <si>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</si>
  <si>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</si>
  <si>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</si>
  <si>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</si>
  <si>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</si>
  <si>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</si>
  <si>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</si>
  <si>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</si>
  <si>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</si>
  <si>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</si>
  <si>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</si>
  <si>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</si>
  <si>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</si>
  <si>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</si>
  <si>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</si>
  <si>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</si>
  <si>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</si>
  <si>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</si>
  <si>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</si>
  <si>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</si>
  <si>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</si>
  <si>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</si>
  <si>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</si>
  <si>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</si>
  <si>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</si>
  <si>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</si>
  <si>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</si>
  <si>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</si>
  <si>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</si>
  <si>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</si>
  <si>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</si>
  <si>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</si>
  <si>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</si>
  <si>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</si>
  <si>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</si>
  <si>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</si>
  <si>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</si>
  <si>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</si>
  <si>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</si>
  <si>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</si>
  <si>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</si>
  <si>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</si>
  <si>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</si>
  <si>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</si>
  <si>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</si>
  <si>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</si>
  <si>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</si>
  <si>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</si>
  <si>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</si>
  <si>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</si>
  <si>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</si>
  <si>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</si>
  <si>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</si>
  <si>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</si>
  <si>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</si>
  <si>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</si>
  <si>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</si>
  <si>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</si>
  <si>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</si>
  <si>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</si>
  <si>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</si>
  <si>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</si>
  <si>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</si>
  <si>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</si>
  <si>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</si>
  <si>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</si>
  <si>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</si>
  <si>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</si>
  <si>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</si>
  <si>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</si>
  <si>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</si>
  <si>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</si>
  <si>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</si>
  <si>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</si>
  <si>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</si>
  <si>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</si>
  <si>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</si>
  <si>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</si>
  <si>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</si>
  <si>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</si>
  <si>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</si>
  <si>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</si>
  <si>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</si>
  <si>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</si>
  <si>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</si>
  <si>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</si>
  <si>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</si>
  <si>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</si>
  <si>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</si>
  <si>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</si>
  <si>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</si>
  <si>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</si>
  <si>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</si>
  <si>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</si>
  <si>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</si>
  <si>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</si>
  <si>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</si>
  <si>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</si>
  <si>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</si>
  <si>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</si>
  <si>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</si>
  <si>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</si>
  <si>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</si>
  <si>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</si>
  <si>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</si>
  <si>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</si>
  <si>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</si>
  <si>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</si>
  <si>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</si>
  <si>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</si>
  <si>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</si>
  <si>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</si>
  <si>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</si>
  <si>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</si>
  <si>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</si>
  <si>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</si>
  <si>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</si>
  <si>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</si>
  <si>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</si>
  <si>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</si>
  <si>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</si>
  <si>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</si>
  <si>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</si>
  <si>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</si>
  <si>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</si>
  <si>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</si>
  <si>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</si>
  <si>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</si>
  <si>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</si>
  <si>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</si>
  <si>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</si>
  <si>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</si>
  <si>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</si>
  <si>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</si>
  <si>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</si>
  <si>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</si>
  <si>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</si>
  <si>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</si>
  <si>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</si>
  <si>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</si>
  <si>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</si>
  <si>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</si>
  <si>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automation/Data/Results/Workbooks/EN/EN_Database.Main.xlsx</t>
  </si>
  <si>
    <t>Country</t>
  </si>
  <si>
    <t>Sum of the workbooks for England</t>
  </si>
  <si>
    <t>Country name</t>
  </si>
  <si>
    <t>England</t>
  </si>
  <si>
    <t>02 10 2023 05:03:16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</si>
</sst>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22" fontId="0" fillId="0" borderId="0" xfId="0" applyNumberFormat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 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0.82619957207423766</c:v>
                </c:pt>
                <c:pt idx="2">
                  <c:v>0.9984100828068998</c:v>
                </c:pt>
                <c:pt idx="3">
                  <c:v>3.5301081927907596E-2</c:v>
                </c:pt>
                <c:pt idx="4">
                  <c:v>1.0388823568214356</c:v>
                </c:pt>
                <c:pt idx="5">
                  <c:v>0.66346128521379555</c:v>
                </c:pt>
                <c:pt idx="7">
                  <c:v>0.49498804029632915</c:v>
                </c:pt>
                <c:pt idx="8">
                  <c:v>0.68578943587789265</c:v>
                </c:pt>
                <c:pt idx="9">
                  <c:v>-0.13672576930433555</c:v>
                </c:pt>
                <c:pt idx="10">
                  <c:v>1.4832503936212715</c:v>
                </c:pt>
                <c:pt idx="11">
                  <c:v>2.52573588939633</c:v>
                </c:pt>
                <c:pt idx="12">
                  <c:v>0.62634354624531152</c:v>
                </c:pt>
                <c:pt idx="13">
                  <c:v>1.3563142447170939</c:v>
                </c:pt>
                <c:pt idx="14">
                  <c:v>0.52053197282926345</c:v>
                </c:pt>
                <c:pt idx="15">
                  <c:v>0.83299606432620799</c:v>
                </c:pt>
                <c:pt idx="17">
                  <c:v>1.5713701741797648</c:v>
                </c:pt>
                <c:pt idx="18">
                  <c:v>2.4897454361841653</c:v>
                </c:pt>
                <c:pt idx="19">
                  <c:v>8.2917327365517046E-2</c:v>
                </c:pt>
                <c:pt idx="20">
                  <c:v>0.92222477881374054</c:v>
                </c:pt>
                <c:pt idx="22">
                  <c:v>2.1234584778621501</c:v>
                </c:pt>
                <c:pt idx="24">
                  <c:v>-0.11961343862384455</c:v>
                </c:pt>
                <c:pt idx="25">
                  <c:v>-0.51864643088095352</c:v>
                </c:pt>
                <c:pt idx="26">
                  <c:v>1.6213182094447998</c:v>
                </c:pt>
                <c:pt idx="27">
                  <c:v>9.7804441518012375E-2</c:v>
                </c:pt>
                <c:pt idx="29">
                  <c:v>0.99169869949289335</c:v>
                </c:pt>
                <c:pt idx="30">
                  <c:v>3.7465694631868995</c:v>
                </c:pt>
                <c:pt idx="31">
                  <c:v>-4.2157603060080984</c:v>
                </c:pt>
                <c:pt idx="32">
                  <c:v>-1.8136034084945241</c:v>
                </c:pt>
                <c:pt idx="33">
                  <c:v>-2.3498241753794336E-2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0.477233431154378</c:v>
                </c:pt>
                <c:pt idx="2">
                  <c:v>0.84698959766382753</c:v>
                </c:pt>
                <c:pt idx="3">
                  <c:v>0.26227504847629035</c:v>
                </c:pt>
                <c:pt idx="4">
                  <c:v>0.30442578158225153</c:v>
                </c:pt>
                <c:pt idx="5">
                  <c:v>0.56712980168480698</c:v>
                </c:pt>
                <c:pt idx="7">
                  <c:v>-1.7441336747303637E-3</c:v>
                </c:pt>
                <c:pt idx="8">
                  <c:v>0.68216606566100513</c:v>
                </c:pt>
                <c:pt idx="9">
                  <c:v>0.83342781409669886</c:v>
                </c:pt>
                <c:pt idx="10">
                  <c:v>0.75154407970337012</c:v>
                </c:pt>
                <c:pt idx="11">
                  <c:v>0.36479081286955317</c:v>
                </c:pt>
                <c:pt idx="12">
                  <c:v>-0.1568083387042507</c:v>
                </c:pt>
                <c:pt idx="13">
                  <c:v>0.99807042338080354</c:v>
                </c:pt>
                <c:pt idx="14">
                  <c:v>0.15606589051742059</c:v>
                </c:pt>
                <c:pt idx="15">
                  <c:v>0.60031664769235604</c:v>
                </c:pt>
                <c:pt idx="17">
                  <c:v>1.2174819600557552</c:v>
                </c:pt>
                <c:pt idx="18">
                  <c:v>0.55958773788067351</c:v>
                </c:pt>
                <c:pt idx="19">
                  <c:v>0.10693761094249243</c:v>
                </c:pt>
                <c:pt idx="20">
                  <c:v>0.50021003036864187</c:v>
                </c:pt>
                <c:pt idx="22">
                  <c:v>0.794722474715015</c:v>
                </c:pt>
                <c:pt idx="24">
                  <c:v>-0.99524754169800778</c:v>
                </c:pt>
                <c:pt idx="25">
                  <c:v>-0.70483169273352075</c:v>
                </c:pt>
                <c:pt idx="26">
                  <c:v>-9.5303695488824225E-2</c:v>
                </c:pt>
                <c:pt idx="27">
                  <c:v>-0.79519796723452885</c:v>
                </c:pt>
                <c:pt idx="29">
                  <c:v>0.83615818436593159</c:v>
                </c:pt>
                <c:pt idx="30">
                  <c:v>-0.30028462793940669</c:v>
                </c:pt>
                <c:pt idx="31">
                  <c:v>-3.3506240374687857</c:v>
                </c:pt>
                <c:pt idx="32">
                  <c:v>0.25825290801375633</c:v>
                </c:pt>
                <c:pt idx="33">
                  <c:v>0.20432106617911394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286.70399999839151</c:v>
                </c:pt>
                <c:pt idx="1">
                  <c:v>284.09400000045702</c:v>
                </c:pt>
                <c:pt idx="2">
                  <c:v>299.12999999941439</c:v>
                </c:pt>
                <c:pt idx="3">
                  <c:v>254.50799999888872</c:v>
                </c:pt>
                <c:pt idx="4">
                  <c:v>301.21199999913404</c:v>
                </c:pt>
                <c:pt idx="5">
                  <c:v>262.66400000087742</c:v>
                </c:pt>
                <c:pt idx="6">
                  <c:v>255.6499999987966</c:v>
                </c:pt>
                <c:pt idx="7">
                  <c:v>261.23800000146286</c:v>
                </c:pt>
                <c:pt idx="8">
                  <c:v>275.73600000205232</c:v>
                </c:pt>
                <c:pt idx="9">
                  <c:v>270.40100000186817</c:v>
                </c:pt>
                <c:pt idx="10">
                  <c:v>239.69399999875475</c:v>
                </c:pt>
                <c:pt idx="11">
                  <c:v>241.42999999844511</c:v>
                </c:pt>
                <c:pt idx="12">
                  <c:v>243.09199999911934</c:v>
                </c:pt>
                <c:pt idx="13">
                  <c:v>245.35799999880027</c:v>
                </c:pt>
                <c:pt idx="14">
                  <c:v>246.86999999804183</c:v>
                </c:pt>
                <c:pt idx="15">
                  <c:v>246.8979999987769</c:v>
                </c:pt>
                <c:pt idx="16">
                  <c:v>247.11899999849686</c:v>
                </c:pt>
                <c:pt idx="17">
                  <c:v>247.29799999934113</c:v>
                </c:pt>
                <c:pt idx="18">
                  <c:v>247.40299999863791</c:v>
                </c:pt>
                <c:pt idx="19">
                  <c:v>247.49199999924073</c:v>
                </c:pt>
                <c:pt idx="20">
                  <c:v>247.8289999989527</c:v>
                </c:pt>
                <c:pt idx="21">
                  <c:v>248.14099999952032</c:v>
                </c:pt>
                <c:pt idx="22">
                  <c:v>248.43099999950581</c:v>
                </c:pt>
                <c:pt idx="23">
                  <c:v>248.69599999974119</c:v>
                </c:pt>
                <c:pt idx="24" formatCode="#,##0.00">
                  <c:v>248.92499999813441</c:v>
                </c:pt>
                <c:pt idx="25">
                  <c:v>249.14899999809109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26.950000000087385</c:v>
                </c:pt>
                <c:pt idx="1">
                  <c:v>28.058999999963298</c:v>
                </c:pt>
                <c:pt idx="2">
                  <c:v>37.004999999853375</c:v>
                </c:pt>
                <c:pt idx="3">
                  <c:v>30.044999999842197</c:v>
                </c:pt>
                <c:pt idx="4">
                  <c:v>24.05999999990777</c:v>
                </c:pt>
                <c:pt idx="5">
                  <c:v>30.394999999857781</c:v>
                </c:pt>
                <c:pt idx="6">
                  <c:v>25.559999999920784</c:v>
                </c:pt>
                <c:pt idx="7">
                  <c:v>21.857000000057113</c:v>
                </c:pt>
                <c:pt idx="8">
                  <c:v>26.380000000058942</c:v>
                </c:pt>
                <c:pt idx="9">
                  <c:v>23.973999999977273</c:v>
                </c:pt>
                <c:pt idx="10">
                  <c:v>24.505999999997869</c:v>
                </c:pt>
                <c:pt idx="11">
                  <c:v>23.250999999975264</c:v>
                </c:pt>
                <c:pt idx="12">
                  <c:v>22.767000000051191</c:v>
                </c:pt>
                <c:pt idx="13">
                  <c:v>21.690000000027968</c:v>
                </c:pt>
                <c:pt idx="14">
                  <c:v>20.606000000035259</c:v>
                </c:pt>
                <c:pt idx="15">
                  <c:v>19.748000000062095</c:v>
                </c:pt>
                <c:pt idx="16">
                  <c:v>19.074000000051019</c:v>
                </c:pt>
                <c:pt idx="17">
                  <c:v>18.412000000073391</c:v>
                </c:pt>
                <c:pt idx="18">
                  <c:v>17.822000000042287</c:v>
                </c:pt>
                <c:pt idx="19">
                  <c:v>17.282000000028205</c:v>
                </c:pt>
                <c:pt idx="20">
                  <c:v>16.814000000055533</c:v>
                </c:pt>
                <c:pt idx="21">
                  <c:v>16.308000000060474</c:v>
                </c:pt>
                <c:pt idx="22">
                  <c:v>15.853000000066393</c:v>
                </c:pt>
                <c:pt idx="23">
                  <c:v>15.429000000069591</c:v>
                </c:pt>
                <c:pt idx="24" formatCode="#,##0.00">
                  <c:v>15.046000000052295</c:v>
                </c:pt>
                <c:pt idx="25">
                  <c:v>14.698000000043045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103.08400000010815</c:v>
                </c:pt>
                <c:pt idx="1">
                  <c:v>90.741999999640271</c:v>
                </c:pt>
                <c:pt idx="2">
                  <c:v>96.360999999529483</c:v>
                </c:pt>
                <c:pt idx="3">
                  <c:v>97.576999999774657</c:v>
                </c:pt>
                <c:pt idx="4">
                  <c:v>86.457999999785201</c:v>
                </c:pt>
                <c:pt idx="5">
                  <c:v>98.78599999956451</c:v>
                </c:pt>
                <c:pt idx="6">
                  <c:v>108.59199999950371</c:v>
                </c:pt>
                <c:pt idx="7">
                  <c:v>115.72599999997597</c:v>
                </c:pt>
                <c:pt idx="8">
                  <c:v>122.19699999991163</c:v>
                </c:pt>
                <c:pt idx="9">
                  <c:v>119.00299999947046</c:v>
                </c:pt>
                <c:pt idx="10">
                  <c:v>118.73099999947833</c:v>
                </c:pt>
                <c:pt idx="11">
                  <c:v>117.33099999931129</c:v>
                </c:pt>
                <c:pt idx="12">
                  <c:v>115.17100000016499</c:v>
                </c:pt>
                <c:pt idx="13">
                  <c:v>114.6030000001366</c:v>
                </c:pt>
                <c:pt idx="14">
                  <c:v>114.42200000010655</c:v>
                </c:pt>
                <c:pt idx="15">
                  <c:v>114.24900000085233</c:v>
                </c:pt>
                <c:pt idx="16">
                  <c:v>114.03400000054249</c:v>
                </c:pt>
                <c:pt idx="17">
                  <c:v>113.88900000039457</c:v>
                </c:pt>
                <c:pt idx="18">
                  <c:v>113.72200000036847</c:v>
                </c:pt>
                <c:pt idx="19">
                  <c:v>113.60900000048889</c:v>
                </c:pt>
                <c:pt idx="20">
                  <c:v>113.55400000044928</c:v>
                </c:pt>
                <c:pt idx="21">
                  <c:v>113.51800000038359</c:v>
                </c:pt>
                <c:pt idx="22">
                  <c:v>113.49400000056292</c:v>
                </c:pt>
                <c:pt idx="23">
                  <c:v>113.48600000050466</c:v>
                </c:pt>
                <c:pt idx="24" formatCode="#,##0.00">
                  <c:v>113.48500000045887</c:v>
                </c:pt>
                <c:pt idx="25">
                  <c:v>113.49399999960092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148.38000000022421</c:v>
                </c:pt>
                <c:pt idx="1">
                  <c:v>157.25899999945901</c:v>
                </c:pt>
                <c:pt idx="2">
                  <c:v>158.23199999973539</c:v>
                </c:pt>
                <c:pt idx="3">
                  <c:v>155.05899999931816</c:v>
                </c:pt>
                <c:pt idx="4">
                  <c:v>164.19199999936512</c:v>
                </c:pt>
                <c:pt idx="5">
                  <c:v>163.35100000011215</c:v>
                </c:pt>
                <c:pt idx="6">
                  <c:v>163.9229999998195</c:v>
                </c:pt>
                <c:pt idx="7">
                  <c:v>178.68500000068755</c:v>
                </c:pt>
                <c:pt idx="8">
                  <c:v>186.98700000090122</c:v>
                </c:pt>
                <c:pt idx="9">
                  <c:v>185.57900000008738</c:v>
                </c:pt>
                <c:pt idx="10">
                  <c:v>171.61299999982805</c:v>
                </c:pt>
                <c:pt idx="11">
                  <c:v>168.14099999963224</c:v>
                </c:pt>
                <c:pt idx="12">
                  <c:v>167.08500000025489</c:v>
                </c:pt>
                <c:pt idx="13">
                  <c:v>169.42400000034866</c:v>
                </c:pt>
                <c:pt idx="14">
                  <c:v>176.44400000005439</c:v>
                </c:pt>
                <c:pt idx="15">
                  <c:v>180.39100000091514</c:v>
                </c:pt>
                <c:pt idx="16">
                  <c:v>183.28700000100505</c:v>
                </c:pt>
                <c:pt idx="17">
                  <c:v>185.41400000111102</c:v>
                </c:pt>
                <c:pt idx="18">
                  <c:v>187.0660000009515</c:v>
                </c:pt>
                <c:pt idx="19">
                  <c:v>188.40600000074085</c:v>
                </c:pt>
                <c:pt idx="20">
                  <c:v>189.58200000122943</c:v>
                </c:pt>
                <c:pt idx="21">
                  <c:v>190.6580000008673</c:v>
                </c:pt>
                <c:pt idx="22">
                  <c:v>191.66100000101096</c:v>
                </c:pt>
                <c:pt idx="23">
                  <c:v>192.60800000146421</c:v>
                </c:pt>
                <c:pt idx="24" formatCode="#,##0.00">
                  <c:v>193.55200000135193</c:v>
                </c:pt>
                <c:pt idx="25">
                  <c:v>194.4440000004613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331.09099999781665</c:v>
                </c:pt>
                <c:pt idx="1">
                  <c:v>317.62199999875878</c:v>
                </c:pt>
                <c:pt idx="2">
                  <c:v>321.97899999966427</c:v>
                </c:pt>
                <c:pt idx="3">
                  <c:v>329.81699999764118</c:v>
                </c:pt>
                <c:pt idx="4">
                  <c:v>330.73099999844521</c:v>
                </c:pt>
                <c:pt idx="5">
                  <c:v>338.92800000130194</c:v>
                </c:pt>
                <c:pt idx="6">
                  <c:v>361.15799999964122</c:v>
                </c:pt>
                <c:pt idx="7">
                  <c:v>365.47600000279738</c:v>
                </c:pt>
                <c:pt idx="8">
                  <c:v>356.77400000219541</c:v>
                </c:pt>
                <c:pt idx="9">
                  <c:v>366.44100000040532</c:v>
                </c:pt>
                <c:pt idx="10">
                  <c:v>367.30900000027202</c:v>
                </c:pt>
                <c:pt idx="11">
                  <c:v>368.71799999796525</c:v>
                </c:pt>
                <c:pt idx="12">
                  <c:v>370.76500000139589</c:v>
                </c:pt>
                <c:pt idx="13">
                  <c:v>372.89500000170909</c:v>
                </c:pt>
                <c:pt idx="14">
                  <c:v>372.97700000032796</c:v>
                </c:pt>
                <c:pt idx="15">
                  <c:v>371.81200000413804</c:v>
                </c:pt>
                <c:pt idx="16">
                  <c:v>370.96300000360475</c:v>
                </c:pt>
                <c:pt idx="17">
                  <c:v>369.96000000367241</c:v>
                </c:pt>
                <c:pt idx="18">
                  <c:v>368.88000000303879</c:v>
                </c:pt>
                <c:pt idx="19">
                  <c:v>367.78100000291118</c:v>
                </c:pt>
                <c:pt idx="20">
                  <c:v>366.87100000362369</c:v>
                </c:pt>
                <c:pt idx="21">
                  <c:v>365.9710000029732</c:v>
                </c:pt>
                <c:pt idx="22">
                  <c:v>365.05900000351795</c:v>
                </c:pt>
                <c:pt idx="23">
                  <c:v>364.10200000452022</c:v>
                </c:pt>
                <c:pt idx="24" formatCode="#,##0.00">
                  <c:v>363.1150000041352</c:v>
                </c:pt>
                <c:pt idx="25">
                  <c:v>362.09299999941993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332.92899999996166</c:v>
                </c:pt>
                <c:pt idx="1">
                  <c:v>360.95499999896225</c:v>
                </c:pt>
                <c:pt idx="2">
                  <c:v>359.70399999893226</c:v>
                </c:pt>
                <c:pt idx="3">
                  <c:v>357.69299999877126</c:v>
                </c:pt>
                <c:pt idx="4">
                  <c:v>326.53999999890885</c:v>
                </c:pt>
                <c:pt idx="5">
                  <c:v>331.15499999898378</c:v>
                </c:pt>
                <c:pt idx="6">
                  <c:v>326.91799999889372</c:v>
                </c:pt>
                <c:pt idx="7">
                  <c:v>344.77700000036958</c:v>
                </c:pt>
                <c:pt idx="8">
                  <c:v>340.03500000037957</c:v>
                </c:pt>
                <c:pt idx="9">
                  <c:v>338.70199999916076</c:v>
                </c:pt>
                <c:pt idx="10">
                  <c:v>322.65599999908096</c:v>
                </c:pt>
                <c:pt idx="11">
                  <c:v>331.84199999871572</c:v>
                </c:pt>
                <c:pt idx="12">
                  <c:v>329.82000000032934</c:v>
                </c:pt>
                <c:pt idx="13">
                  <c:v>330.83900000021612</c:v>
                </c:pt>
                <c:pt idx="14">
                  <c:v>330.50900000005936</c:v>
                </c:pt>
                <c:pt idx="15">
                  <c:v>328.98500000143895</c:v>
                </c:pt>
                <c:pt idx="16">
                  <c:v>324.78600000129734</c:v>
                </c:pt>
                <c:pt idx="17">
                  <c:v>320.59300000156941</c:v>
                </c:pt>
                <c:pt idx="18">
                  <c:v>316.4430000013424</c:v>
                </c:pt>
                <c:pt idx="19">
                  <c:v>312.38900000125824</c:v>
                </c:pt>
                <c:pt idx="20">
                  <c:v>308.7540000017043</c:v>
                </c:pt>
                <c:pt idx="21">
                  <c:v>305.00300000125554</c:v>
                </c:pt>
                <c:pt idx="22">
                  <c:v>301.26600000149227</c:v>
                </c:pt>
                <c:pt idx="23">
                  <c:v>297.55000000190535</c:v>
                </c:pt>
                <c:pt idx="24" formatCode="#,##0.00">
                  <c:v>293.84600000154586</c:v>
                </c:pt>
                <c:pt idx="25">
                  <c:v>290.17600000016159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1502.638999998725</c:v>
                </c:pt>
                <c:pt idx="1">
                  <c:v>1471.2839999963792</c:v>
                </c:pt>
                <c:pt idx="2">
                  <c:v>1499.7259999963846</c:v>
                </c:pt>
                <c:pt idx="3">
                  <c:v>1447.9449999920885</c:v>
                </c:pt>
                <c:pt idx="4">
                  <c:v>1521.3019999943765</c:v>
                </c:pt>
                <c:pt idx="5">
                  <c:v>1527.5589999988133</c:v>
                </c:pt>
                <c:pt idx="6">
                  <c:v>1526.8099999956894</c:v>
                </c:pt>
                <c:pt idx="7">
                  <c:v>1538.0870000057755</c:v>
                </c:pt>
                <c:pt idx="8">
                  <c:v>1588.7570000054177</c:v>
                </c:pt>
                <c:pt idx="9">
                  <c:v>1549.3069999972588</c:v>
                </c:pt>
                <c:pt idx="10">
                  <c:v>1518.4449999969527</c:v>
                </c:pt>
                <c:pt idx="11">
                  <c:v>1506.5289999931249</c:v>
                </c:pt>
                <c:pt idx="12">
                  <c:v>1486.0060000017336</c:v>
                </c:pt>
                <c:pt idx="13">
                  <c:v>1463.4850000010927</c:v>
                </c:pt>
                <c:pt idx="14">
                  <c:v>1448.1479999995581</c:v>
                </c:pt>
                <c:pt idx="15">
                  <c:v>1429.9260000060153</c:v>
                </c:pt>
                <c:pt idx="16">
                  <c:v>1415.6160000057494</c:v>
                </c:pt>
                <c:pt idx="17">
                  <c:v>1401.0880000076334</c:v>
                </c:pt>
                <c:pt idx="18">
                  <c:v>1387.2590000056518</c:v>
                </c:pt>
                <c:pt idx="19">
                  <c:v>1374.0360000049</c:v>
                </c:pt>
                <c:pt idx="20">
                  <c:v>1362.3600000071172</c:v>
                </c:pt>
                <c:pt idx="21">
                  <c:v>1350.2020000054304</c:v>
                </c:pt>
                <c:pt idx="22">
                  <c:v>1338.5380000064217</c:v>
                </c:pt>
                <c:pt idx="23">
                  <c:v>1327.3840000093164</c:v>
                </c:pt>
                <c:pt idx="24" formatCode="#,##0.00">
                  <c:v>1316.7270000073315</c:v>
                </c:pt>
                <c:pt idx="25">
                  <c:v>1306.8919999999425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1762.2880000026478</c:v>
                </c:pt>
                <c:pt idx="1">
                  <c:v>1726.0349999872144</c:v>
                </c:pt>
                <c:pt idx="2">
                  <c:v>1744.3209999920223</c:v>
                </c:pt>
                <c:pt idx="3">
                  <c:v>1730.5579999859333</c:v>
                </c:pt>
                <c:pt idx="4">
                  <c:v>1777.1559999742815</c:v>
                </c:pt>
                <c:pt idx="5">
                  <c:v>1800.3539999823467</c:v>
                </c:pt>
                <c:pt idx="6">
                  <c:v>1907.1309999771036</c:v>
                </c:pt>
                <c:pt idx="7">
                  <c:v>1989.7140000048064</c:v>
                </c:pt>
                <c:pt idx="8">
                  <c:v>1943.0150000180868</c:v>
                </c:pt>
                <c:pt idx="9">
                  <c:v>1996.7570000194821</c:v>
                </c:pt>
                <c:pt idx="10">
                  <c:v>1999.7949999736827</c:v>
                </c:pt>
                <c:pt idx="11">
                  <c:v>1977.5929999618268</c:v>
                </c:pt>
                <c:pt idx="12">
                  <c:v>1998.3539999393267</c:v>
                </c:pt>
                <c:pt idx="13">
                  <c:v>2043.6099999393082</c:v>
                </c:pt>
                <c:pt idx="14">
                  <c:v>2079.9439999263495</c:v>
                </c:pt>
                <c:pt idx="15">
                  <c:v>2097.9509999332668</c:v>
                </c:pt>
                <c:pt idx="16">
                  <c:v>2113.9159999377125</c:v>
                </c:pt>
                <c:pt idx="17">
                  <c:v>2125.5439999392152</c:v>
                </c:pt>
                <c:pt idx="18">
                  <c:v>2139.4879999260224</c:v>
                </c:pt>
                <c:pt idx="19">
                  <c:v>2152.4319999355243</c:v>
                </c:pt>
                <c:pt idx="20">
                  <c:v>2167.870999930889</c:v>
                </c:pt>
                <c:pt idx="21">
                  <c:v>2183.7949999419397</c:v>
                </c:pt>
                <c:pt idx="22">
                  <c:v>2200.2799999324802</c:v>
                </c:pt>
                <c:pt idx="23">
                  <c:v>2217.1909999481422</c:v>
                </c:pt>
                <c:pt idx="24" formatCode="#,##0.00">
                  <c:v>2234.4209999349132</c:v>
                </c:pt>
                <c:pt idx="25">
                  <c:v>2251.9169999468195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4056.4729999577899</c:v>
                </c:pt>
                <c:pt idx="1">
                  <c:v>4051.8789999736837</c:v>
                </c:pt>
                <c:pt idx="2">
                  <c:v>4135.1129999770628</c:v>
                </c:pt>
                <c:pt idx="3">
                  <c:v>4081.9199999776733</c:v>
                </c:pt>
                <c:pt idx="4">
                  <c:v>4177.7060000465817</c:v>
                </c:pt>
                <c:pt idx="5">
                  <c:v>4242.0110000769027</c:v>
                </c:pt>
                <c:pt idx="6">
                  <c:v>4268.6350000533703</c:v>
                </c:pt>
                <c:pt idx="7">
                  <c:v>4278.0670000790806</c:v>
                </c:pt>
                <c:pt idx="8">
                  <c:v>4258.8760000667662</c:v>
                </c:pt>
                <c:pt idx="9">
                  <c:v>4291.2060000558395</c:v>
                </c:pt>
                <c:pt idx="10">
                  <c:v>4259.6270000357363</c:v>
                </c:pt>
                <c:pt idx="11">
                  <c:v>4268.1079999677895</c:v>
                </c:pt>
                <c:pt idx="12">
                  <c:v>4268.578000069725</c:v>
                </c:pt>
                <c:pt idx="13">
                  <c:v>4269.7260000882634</c:v>
                </c:pt>
                <c:pt idx="14">
                  <c:v>4275.5870000630357</c:v>
                </c:pt>
                <c:pt idx="15">
                  <c:v>4283.6300000971387</c:v>
                </c:pt>
                <c:pt idx="16">
                  <c:v>4288.095000078024</c:v>
                </c:pt>
                <c:pt idx="17">
                  <c:v>4291.5660000726421</c:v>
                </c:pt>
                <c:pt idx="18">
                  <c:v>4294.6100000670904</c:v>
                </c:pt>
                <c:pt idx="19">
                  <c:v>4297.5450000682285</c:v>
                </c:pt>
                <c:pt idx="20">
                  <c:v>4301.3700000642993</c:v>
                </c:pt>
                <c:pt idx="21">
                  <c:v>4305.7260000641536</c:v>
                </c:pt>
                <c:pt idx="22">
                  <c:v>4310.131000066558</c:v>
                </c:pt>
                <c:pt idx="23">
                  <c:v>4316.3810000706826</c:v>
                </c:pt>
                <c:pt idx="24" formatCode="#,##0.00">
                  <c:v>4322.3960000790112</c:v>
                </c:pt>
                <c:pt idx="25">
                  <c:v>4328.4679999876525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1266.9569999878679</c:v>
                </c:pt>
                <c:pt idx="1">
                  <c:v>1291.5059999851401</c:v>
                </c:pt>
                <c:pt idx="2">
                  <c:v>1318.1829999883505</c:v>
                </c:pt>
                <c:pt idx="3">
                  <c:v>1299.6519999935135</c:v>
                </c:pt>
                <c:pt idx="4">
                  <c:v>1308.7759999885016</c:v>
                </c:pt>
                <c:pt idx="5">
                  <c:v>1399.6460000121267</c:v>
                </c:pt>
                <c:pt idx="6">
                  <c:v>1504.2510000077752</c:v>
                </c:pt>
                <c:pt idx="7">
                  <c:v>1520.2039999987207</c:v>
                </c:pt>
                <c:pt idx="8">
                  <c:v>1517.6000000032971</c:v>
                </c:pt>
                <c:pt idx="9">
                  <c:v>1594.7559999919511</c:v>
                </c:pt>
                <c:pt idx="10">
                  <c:v>1582.7790000029988</c:v>
                </c:pt>
                <c:pt idx="11">
                  <c:v>1654.5580000043979</c:v>
                </c:pt>
                <c:pt idx="12">
                  <c:v>1662.7180000174037</c:v>
                </c:pt>
                <c:pt idx="13">
                  <c:v>1671.4440000208538</c:v>
                </c:pt>
                <c:pt idx="14">
                  <c:v>1681.8330000131257</c:v>
                </c:pt>
                <c:pt idx="15">
                  <c:v>1687.9900000238249</c:v>
                </c:pt>
                <c:pt idx="16">
                  <c:v>1691.7200000248361</c:v>
                </c:pt>
                <c:pt idx="17">
                  <c:v>1695.2090000225783</c:v>
                </c:pt>
                <c:pt idx="18">
                  <c:v>1698.5010000244285</c:v>
                </c:pt>
                <c:pt idx="19">
                  <c:v>1701.8430000173091</c:v>
                </c:pt>
                <c:pt idx="20">
                  <c:v>1705.5800000255035</c:v>
                </c:pt>
                <c:pt idx="21">
                  <c:v>1708.8670000177462</c:v>
                </c:pt>
                <c:pt idx="22">
                  <c:v>1712.0600000200627</c:v>
                </c:pt>
                <c:pt idx="23">
                  <c:v>1715.1210000247579</c:v>
                </c:pt>
                <c:pt idx="24" formatCode="#,##0.00">
                  <c:v>1718.0440000257245</c:v>
                </c:pt>
                <c:pt idx="25">
                  <c:v>1720.9670000086526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1624.9979999896614</c:v>
                </c:pt>
                <c:pt idx="1">
                  <c:v>1680.4279999929042</c:v>
                </c:pt>
                <c:pt idx="2">
                  <c:v>1724.5850000026428</c:v>
                </c:pt>
                <c:pt idx="3">
                  <c:v>1758.475000002725</c:v>
                </c:pt>
                <c:pt idx="4">
                  <c:v>1868.5960000132136</c:v>
                </c:pt>
                <c:pt idx="5">
                  <c:v>1883.3990000314909</c:v>
                </c:pt>
                <c:pt idx="6">
                  <c:v>1972.4480000231767</c:v>
                </c:pt>
                <c:pt idx="7">
                  <c:v>2025.7860000317019</c:v>
                </c:pt>
                <c:pt idx="8">
                  <c:v>2079.3970000307199</c:v>
                </c:pt>
                <c:pt idx="9">
                  <c:v>2121.9480000300359</c:v>
                </c:pt>
                <c:pt idx="10">
                  <c:v>2036.099000009757</c:v>
                </c:pt>
                <c:pt idx="11">
                  <c:v>1939.2339999864357</c:v>
                </c:pt>
                <c:pt idx="12">
                  <c:v>1980.368000026335</c:v>
                </c:pt>
                <c:pt idx="13">
                  <c:v>2035.3550000366652</c:v>
                </c:pt>
                <c:pt idx="14">
                  <c:v>2089.9870000259975</c:v>
                </c:pt>
                <c:pt idx="15">
                  <c:v>2133.4810000418465</c:v>
                </c:pt>
                <c:pt idx="16">
                  <c:v>2171.27400003192</c:v>
                </c:pt>
                <c:pt idx="17">
                  <c:v>2205.7880000310856</c:v>
                </c:pt>
                <c:pt idx="18">
                  <c:v>2238.4670000296528</c:v>
                </c:pt>
                <c:pt idx="19">
                  <c:v>2269.8500000331592</c:v>
                </c:pt>
                <c:pt idx="20">
                  <c:v>2300.7390000314685</c:v>
                </c:pt>
                <c:pt idx="21">
                  <c:v>2330.6950000349343</c:v>
                </c:pt>
                <c:pt idx="22">
                  <c:v>2359.8180000359221</c:v>
                </c:pt>
                <c:pt idx="23">
                  <c:v>2387.9530000372474</c:v>
                </c:pt>
                <c:pt idx="24" formatCode="#,##0.00">
                  <c:v>2415.0830000450028</c:v>
                </c:pt>
                <c:pt idx="25">
                  <c:v>2441.3599999885669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297.47599999896363</c:v>
                </c:pt>
                <c:pt idx="1">
                  <c:v>323.32300000137042</c:v>
                </c:pt>
                <c:pt idx="2">
                  <c:v>344.85499999855534</c:v>
                </c:pt>
                <c:pt idx="3">
                  <c:v>314.64499999820231</c:v>
                </c:pt>
                <c:pt idx="4">
                  <c:v>347.28600000039074</c:v>
                </c:pt>
                <c:pt idx="5">
                  <c:v>339.44299999972969</c:v>
                </c:pt>
                <c:pt idx="6">
                  <c:v>329.19299999896765</c:v>
                </c:pt>
                <c:pt idx="7">
                  <c:v>355.05599999933003</c:v>
                </c:pt>
                <c:pt idx="8">
                  <c:v>342.37499999939416</c:v>
                </c:pt>
                <c:pt idx="9">
                  <c:v>345.15599999886933</c:v>
                </c:pt>
                <c:pt idx="10">
                  <c:v>348.3700000007226</c:v>
                </c:pt>
                <c:pt idx="11">
                  <c:v>349.33499999975834</c:v>
                </c:pt>
                <c:pt idx="12">
                  <c:v>350.37200000373412</c:v>
                </c:pt>
                <c:pt idx="13">
                  <c:v>351.28300000346871</c:v>
                </c:pt>
                <c:pt idx="14">
                  <c:v>352.29600000434715</c:v>
                </c:pt>
                <c:pt idx="15">
                  <c:v>352.73400000536958</c:v>
                </c:pt>
                <c:pt idx="16">
                  <c:v>353.15900000528467</c:v>
                </c:pt>
                <c:pt idx="17">
                  <c:v>353.53900000708865</c:v>
                </c:pt>
                <c:pt idx="18">
                  <c:v>353.9320000073692</c:v>
                </c:pt>
                <c:pt idx="19">
                  <c:v>354.28300000758003</c:v>
                </c:pt>
                <c:pt idx="20">
                  <c:v>354.60800000751021</c:v>
                </c:pt>
                <c:pt idx="21">
                  <c:v>354.94100000676161</c:v>
                </c:pt>
                <c:pt idx="22">
                  <c:v>355.31100000786819</c:v>
                </c:pt>
                <c:pt idx="23">
                  <c:v>355.70800000743577</c:v>
                </c:pt>
                <c:pt idx="24" formatCode="#,##0.00">
                  <c:v>356.1510000063127</c:v>
                </c:pt>
                <c:pt idx="25">
                  <c:v>356.61500000332785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760.80999999950143</c:v>
                </c:pt>
                <c:pt idx="1">
                  <c:v>793.28199999912658</c:v>
                </c:pt>
                <c:pt idx="2">
                  <c:v>759.54099999646849</c:v>
                </c:pt>
                <c:pt idx="3">
                  <c:v>839.66399999475368</c:v>
                </c:pt>
                <c:pt idx="4">
                  <c:v>884.56800000016915</c:v>
                </c:pt>
                <c:pt idx="5">
                  <c:v>935.88699998858351</c:v>
                </c:pt>
                <c:pt idx="6">
                  <c:v>968.17699999131958</c:v>
                </c:pt>
                <c:pt idx="7">
                  <c:v>1004.0979999941973</c:v>
                </c:pt>
                <c:pt idx="8">
                  <c:v>1000.2089999904343</c:v>
                </c:pt>
                <c:pt idx="9">
                  <c:v>995.0659999885371</c:v>
                </c:pt>
                <c:pt idx="10">
                  <c:v>1001.0999999953331</c:v>
                </c:pt>
                <c:pt idx="11">
                  <c:v>1024.0999999944668</c:v>
                </c:pt>
                <c:pt idx="12">
                  <c:v>1032.6090000011227</c:v>
                </c:pt>
                <c:pt idx="13">
                  <c:v>1050.4779999983855</c:v>
                </c:pt>
                <c:pt idx="14">
                  <c:v>1064.3580000043389</c:v>
                </c:pt>
                <c:pt idx="15">
                  <c:v>1075.749000006987</c:v>
                </c:pt>
                <c:pt idx="16">
                  <c:v>1086.2860000040953</c:v>
                </c:pt>
                <c:pt idx="17">
                  <c:v>1095.3710000068772</c:v>
                </c:pt>
                <c:pt idx="18">
                  <c:v>1103.9430000054438</c:v>
                </c:pt>
                <c:pt idx="19">
                  <c:v>1112.4430000087971</c:v>
                </c:pt>
                <c:pt idx="20">
                  <c:v>1121.4120000073865</c:v>
                </c:pt>
                <c:pt idx="21">
                  <c:v>1130.1960000090132</c:v>
                </c:pt>
                <c:pt idx="22">
                  <c:v>1138.7620000112292</c:v>
                </c:pt>
                <c:pt idx="23">
                  <c:v>1146.950000007703</c:v>
                </c:pt>
                <c:pt idx="24" formatCode="#,##0.00">
                  <c:v>1154.6540000078676</c:v>
                </c:pt>
                <c:pt idx="25">
                  <c:v>1161.9129999989968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983.25899999651756</c:v>
                </c:pt>
                <c:pt idx="1">
                  <c:v>991.01400000012654</c:v>
                </c:pt>
                <c:pt idx="2">
                  <c:v>1001.8109999942345</c:v>
                </c:pt>
                <c:pt idx="3">
                  <c:v>977.59199999368445</c:v>
                </c:pt>
                <c:pt idx="4">
                  <c:v>990.06599999962862</c:v>
                </c:pt>
                <c:pt idx="5">
                  <c:v>974.2699999908973</c:v>
                </c:pt>
                <c:pt idx="6">
                  <c:v>980.93799999198711</c:v>
                </c:pt>
                <c:pt idx="7">
                  <c:v>974.26699999793243</c:v>
                </c:pt>
                <c:pt idx="8">
                  <c:v>966.4309999930922</c:v>
                </c:pt>
                <c:pt idx="9">
                  <c:v>998.31399998994914</c:v>
                </c:pt>
                <c:pt idx="10">
                  <c:v>1005.1659999970919</c:v>
                </c:pt>
                <c:pt idx="11">
                  <c:v>1022.1579999953404</c:v>
                </c:pt>
                <c:pt idx="12">
                  <c:v>1019.1320000059433</c:v>
                </c:pt>
                <c:pt idx="13">
                  <c:v>1015.4570000038115</c:v>
                </c:pt>
                <c:pt idx="14">
                  <c:v>1010.0940000075849</c:v>
                </c:pt>
                <c:pt idx="15">
                  <c:v>1006.8290000143252</c:v>
                </c:pt>
                <c:pt idx="16">
                  <c:v>1004.6940000130371</c:v>
                </c:pt>
                <c:pt idx="17">
                  <c:v>1002.4470000159714</c:v>
                </c:pt>
                <c:pt idx="18">
                  <c:v>1000.1190000143546</c:v>
                </c:pt>
                <c:pt idx="19">
                  <c:v>997.7390000185394</c:v>
                </c:pt>
                <c:pt idx="20">
                  <c:v>995.58800001693612</c:v>
                </c:pt>
                <c:pt idx="21">
                  <c:v>992.80400001632165</c:v>
                </c:pt>
                <c:pt idx="22">
                  <c:v>990.04400001912404</c:v>
                </c:pt>
                <c:pt idx="23">
                  <c:v>987.29100001738198</c:v>
                </c:pt>
                <c:pt idx="24" formatCode="#,##0.00">
                  <c:v>984.51500001730903</c:v>
                </c:pt>
                <c:pt idx="25">
                  <c:v>981.78100000498796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432.79799999899893</c:v>
                </c:pt>
                <c:pt idx="1">
                  <c:v>408.45199999886876</c:v>
                </c:pt>
                <c:pt idx="2">
                  <c:v>429.84799999809735</c:v>
                </c:pt>
                <c:pt idx="3">
                  <c:v>475.35799999767914</c:v>
                </c:pt>
                <c:pt idx="4">
                  <c:v>481.40299999926714</c:v>
                </c:pt>
                <c:pt idx="5">
                  <c:v>499.70899999841942</c:v>
                </c:pt>
                <c:pt idx="6">
                  <c:v>510.63899999778744</c:v>
                </c:pt>
                <c:pt idx="7">
                  <c:v>482.55199999992118</c:v>
                </c:pt>
                <c:pt idx="8">
                  <c:v>492.30799999926938</c:v>
                </c:pt>
                <c:pt idx="9">
                  <c:v>512.23999999889179</c:v>
                </c:pt>
                <c:pt idx="10">
                  <c:v>566.08499999823994</c:v>
                </c:pt>
                <c:pt idx="11">
                  <c:v>558.75399999780313</c:v>
                </c:pt>
                <c:pt idx="12">
                  <c:v>550.23500000167564</c:v>
                </c:pt>
                <c:pt idx="13">
                  <c:v>545.76300000134177</c:v>
                </c:pt>
                <c:pt idx="14">
                  <c:v>545.35300000186226</c:v>
                </c:pt>
                <c:pt idx="15">
                  <c:v>548.04900000477232</c:v>
                </c:pt>
                <c:pt idx="16">
                  <c:v>552.08000000373568</c:v>
                </c:pt>
                <c:pt idx="17">
                  <c:v>556.75700000543804</c:v>
                </c:pt>
                <c:pt idx="18">
                  <c:v>561.76500000464966</c:v>
                </c:pt>
                <c:pt idx="19">
                  <c:v>566.92600000593029</c:v>
                </c:pt>
                <c:pt idx="20">
                  <c:v>572.13100000607164</c:v>
                </c:pt>
                <c:pt idx="21">
                  <c:v>577.38000000559373</c:v>
                </c:pt>
                <c:pt idx="22">
                  <c:v>582.61700000673238</c:v>
                </c:pt>
                <c:pt idx="23">
                  <c:v>587.79400000652981</c:v>
                </c:pt>
                <c:pt idx="24" formatCode="#,##0.00">
                  <c:v>592.88300000627532</c:v>
                </c:pt>
                <c:pt idx="25">
                  <c:v>597.86399999991784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2143.0900000010843</c:v>
                </c:pt>
                <c:pt idx="1">
                  <c:v>2134.6040000009011</c:v>
                </c:pt>
                <c:pt idx="2">
                  <c:v>2241.9039999856136</c:v>
                </c:pt>
                <c:pt idx="3">
                  <c:v>2332.218999982736</c:v>
                </c:pt>
                <c:pt idx="4">
                  <c:v>2540.3679999990341</c:v>
                </c:pt>
                <c:pt idx="5">
                  <c:v>2607.9309999661605</c:v>
                </c:pt>
                <c:pt idx="6">
                  <c:v>2696.4509999721122</c:v>
                </c:pt>
                <c:pt idx="7">
                  <c:v>2673.5109999787364</c:v>
                </c:pt>
                <c:pt idx="8">
                  <c:v>2706.9349999694805</c:v>
                </c:pt>
                <c:pt idx="9">
                  <c:v>2881.7529999625126</c:v>
                </c:pt>
                <c:pt idx="10">
                  <c:v>2807.1649999882247</c:v>
                </c:pt>
                <c:pt idx="11">
                  <c:v>2862.2169999843818</c:v>
                </c:pt>
                <c:pt idx="12">
                  <c:v>2881.2660000096439</c:v>
                </c:pt>
                <c:pt idx="13">
                  <c:v>2904.8620000038959</c:v>
                </c:pt>
                <c:pt idx="14">
                  <c:v>2929.5990000202287</c:v>
                </c:pt>
                <c:pt idx="15">
                  <c:v>2948.756000032356</c:v>
                </c:pt>
                <c:pt idx="16">
                  <c:v>2966.3190000308214</c:v>
                </c:pt>
                <c:pt idx="17">
                  <c:v>2984.5950000400512</c:v>
                </c:pt>
                <c:pt idx="18">
                  <c:v>3003.446000042813</c:v>
                </c:pt>
                <c:pt idx="19">
                  <c:v>3022.994000052181</c:v>
                </c:pt>
                <c:pt idx="20">
                  <c:v>3043.1240000502298</c:v>
                </c:pt>
                <c:pt idx="21">
                  <c:v>3062.6470000470817</c:v>
                </c:pt>
                <c:pt idx="22">
                  <c:v>3082.2100000535279</c:v>
                </c:pt>
                <c:pt idx="23">
                  <c:v>3101.774000049566</c:v>
                </c:pt>
                <c:pt idx="24" formatCode="#,##0.00">
                  <c:v>3121.304000048473</c:v>
                </c:pt>
                <c:pt idx="25">
                  <c:v>3140.8240000163005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2093.1599999953019</c:v>
                </c:pt>
                <c:pt idx="1">
                  <c:v>2118.5259999962964</c:v>
                </c:pt>
                <c:pt idx="2">
                  <c:v>2265.3050000050807</c:v>
                </c:pt>
                <c:pt idx="3">
                  <c:v>2259.9250000021561</c:v>
                </c:pt>
                <c:pt idx="4">
                  <c:v>2442.016000000016</c:v>
                </c:pt>
                <c:pt idx="5">
                  <c:v>2500.2860000175156</c:v>
                </c:pt>
                <c:pt idx="6">
                  <c:v>2603.3090000076581</c:v>
                </c:pt>
                <c:pt idx="7">
                  <c:v>2613.9500000120224</c:v>
                </c:pt>
                <c:pt idx="8">
                  <c:v>2626.9930000152895</c:v>
                </c:pt>
                <c:pt idx="9">
                  <c:v>2639.3450000139492</c:v>
                </c:pt>
                <c:pt idx="10">
                  <c:v>2483.2400000000939</c:v>
                </c:pt>
                <c:pt idx="11">
                  <c:v>2520.4769999979649</c:v>
                </c:pt>
                <c:pt idx="12">
                  <c:v>2566.6380000093286</c:v>
                </c:pt>
                <c:pt idx="13">
                  <c:v>2592.961000011901</c:v>
                </c:pt>
                <c:pt idx="14">
                  <c:v>2613.9030000062089</c:v>
                </c:pt>
                <c:pt idx="15">
                  <c:v>2630.4030000153866</c:v>
                </c:pt>
                <c:pt idx="16">
                  <c:v>2648.9650000124429</c:v>
                </c:pt>
                <c:pt idx="17">
                  <c:v>2667.2480000167016</c:v>
                </c:pt>
                <c:pt idx="18">
                  <c:v>2685.3820000152859</c:v>
                </c:pt>
                <c:pt idx="19">
                  <c:v>2703.513000014495</c:v>
                </c:pt>
                <c:pt idx="20">
                  <c:v>2722.1740000176997</c:v>
                </c:pt>
                <c:pt idx="21">
                  <c:v>2740.1770000138599</c:v>
                </c:pt>
                <c:pt idx="22">
                  <c:v>2758.20300001635</c:v>
                </c:pt>
                <c:pt idx="23">
                  <c:v>2776.247000018725</c:v>
                </c:pt>
                <c:pt idx="24" formatCode="#,##0.00">
                  <c:v>2794.3160000159642</c:v>
                </c:pt>
                <c:pt idx="25">
                  <c:v>2812.4619999993538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725.12999999931753</c:v>
                </c:pt>
                <c:pt idx="1">
                  <c:v>733.99999999981765</c:v>
                </c:pt>
                <c:pt idx="2">
                  <c:v>762.80700000001661</c:v>
                </c:pt>
                <c:pt idx="3">
                  <c:v>768.14899999827071</c:v>
                </c:pt>
                <c:pt idx="4">
                  <c:v>803.96300000198312</c:v>
                </c:pt>
                <c:pt idx="5">
                  <c:v>835.68700000489434</c:v>
                </c:pt>
                <c:pt idx="6">
                  <c:v>810.65900000023544</c:v>
                </c:pt>
                <c:pt idx="7">
                  <c:v>828.30599999962283</c:v>
                </c:pt>
                <c:pt idx="8">
                  <c:v>861.21200000196563</c:v>
                </c:pt>
                <c:pt idx="9">
                  <c:v>862.71200000122587</c:v>
                </c:pt>
                <c:pt idx="10">
                  <c:v>864.73800000184235</c:v>
                </c:pt>
                <c:pt idx="11">
                  <c:v>872.54299999958789</c:v>
                </c:pt>
                <c:pt idx="12">
                  <c:v>862.31200000901367</c:v>
                </c:pt>
                <c:pt idx="13">
                  <c:v>867.61300000984966</c:v>
                </c:pt>
                <c:pt idx="14">
                  <c:v>879.46700001133843</c:v>
                </c:pt>
                <c:pt idx="15">
                  <c:v>885.60900001319476</c:v>
                </c:pt>
                <c:pt idx="16">
                  <c:v>893.5300000127861</c:v>
                </c:pt>
                <c:pt idx="17">
                  <c:v>901.06400001909719</c:v>
                </c:pt>
                <c:pt idx="18">
                  <c:v>907.59500002192192</c:v>
                </c:pt>
                <c:pt idx="19">
                  <c:v>913.66700002092728</c:v>
                </c:pt>
                <c:pt idx="20">
                  <c:v>920.38700002198902</c:v>
                </c:pt>
                <c:pt idx="21">
                  <c:v>927.61200001978705</c:v>
                </c:pt>
                <c:pt idx="22">
                  <c:v>935.12400002235859</c:v>
                </c:pt>
                <c:pt idx="23">
                  <c:v>942.67000002248062</c:v>
                </c:pt>
                <c:pt idx="24" formatCode="#,##0.00">
                  <c:v>950.1500000170704</c:v>
                </c:pt>
                <c:pt idx="25">
                  <c:v>957.5750000091665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764.57599999605839</c:v>
                </c:pt>
                <c:pt idx="1">
                  <c:v>776.19499999826894</c:v>
                </c:pt>
                <c:pt idx="2">
                  <c:v>756.45499999756589</c:v>
                </c:pt>
                <c:pt idx="3">
                  <c:v>779.89199999566119</c:v>
                </c:pt>
                <c:pt idx="4">
                  <c:v>845.90799999881631</c:v>
                </c:pt>
                <c:pt idx="5">
                  <c:v>835.42600000250957</c:v>
                </c:pt>
                <c:pt idx="6">
                  <c:v>836.18299999767214</c:v>
                </c:pt>
                <c:pt idx="7">
                  <c:v>825.55499999751271</c:v>
                </c:pt>
                <c:pt idx="8">
                  <c:v>845.05300000267914</c:v>
                </c:pt>
                <c:pt idx="9">
                  <c:v>864.11900000259277</c:v>
                </c:pt>
                <c:pt idx="10">
                  <c:v>856.30799999733563</c:v>
                </c:pt>
                <c:pt idx="11">
                  <c:v>850.18599999594915</c:v>
                </c:pt>
                <c:pt idx="12">
                  <c:v>845.74500000478099</c:v>
                </c:pt>
                <c:pt idx="13">
                  <c:v>847.43700000499814</c:v>
                </c:pt>
                <c:pt idx="14">
                  <c:v>849.75300000561231</c:v>
                </c:pt>
                <c:pt idx="15">
                  <c:v>849.44700000778357</c:v>
                </c:pt>
                <c:pt idx="16">
                  <c:v>848.71900000635605</c:v>
                </c:pt>
                <c:pt idx="17">
                  <c:v>848.13200001482107</c:v>
                </c:pt>
                <c:pt idx="18">
                  <c:v>847.848000015151</c:v>
                </c:pt>
                <c:pt idx="19">
                  <c:v>847.93600001537527</c:v>
                </c:pt>
                <c:pt idx="20">
                  <c:v>848.60400001580285</c:v>
                </c:pt>
                <c:pt idx="21">
                  <c:v>849.62000001487672</c:v>
                </c:pt>
                <c:pt idx="22">
                  <c:v>850.90400001620992</c:v>
                </c:pt>
                <c:pt idx="23">
                  <c:v>852.39600001672068</c:v>
                </c:pt>
                <c:pt idx="24" formatCode="#,##0.00">
                  <c:v>854.10300001014696</c:v>
                </c:pt>
                <c:pt idx="25">
                  <c:v>856.08400000381187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1245.621000002978</c:v>
                </c:pt>
                <c:pt idx="1">
                  <c:v>1159.4129999991126</c:v>
                </c:pt>
                <c:pt idx="2">
                  <c:v>1107.3339999966631</c:v>
                </c:pt>
                <c:pt idx="3">
                  <c:v>1093.0559999979532</c:v>
                </c:pt>
                <c:pt idx="4">
                  <c:v>1091.3729999962866</c:v>
                </c:pt>
                <c:pt idx="5">
                  <c:v>1050.7089999919901</c:v>
                </c:pt>
                <c:pt idx="6">
                  <c:v>1037.888999994032</c:v>
                </c:pt>
                <c:pt idx="7">
                  <c:v>1035.2469999940065</c:v>
                </c:pt>
                <c:pt idx="8">
                  <c:v>1048.7939999940832</c:v>
                </c:pt>
                <c:pt idx="9">
                  <c:v>1063.7109999941283</c:v>
                </c:pt>
                <c:pt idx="10">
                  <c:v>1106.4329999965846</c:v>
                </c:pt>
                <c:pt idx="11">
                  <c:v>1109.2669999976115</c:v>
                </c:pt>
                <c:pt idx="12">
                  <c:v>1119.231999999261</c:v>
                </c:pt>
                <c:pt idx="13">
                  <c:v>1124.7779999980548</c:v>
                </c:pt>
                <c:pt idx="14">
                  <c:v>1131.8160000010816</c:v>
                </c:pt>
                <c:pt idx="15">
                  <c:v>1135.5730000018098</c:v>
                </c:pt>
                <c:pt idx="16">
                  <c:v>1137.8700000025217</c:v>
                </c:pt>
                <c:pt idx="17">
                  <c:v>1140.1490000042311</c:v>
                </c:pt>
                <c:pt idx="18">
                  <c:v>1142.4200000041515</c:v>
                </c:pt>
                <c:pt idx="19">
                  <c:v>1144.687000005971</c:v>
                </c:pt>
                <c:pt idx="20">
                  <c:v>1146.9890000056826</c:v>
                </c:pt>
                <c:pt idx="21">
                  <c:v>1149.1990000055082</c:v>
                </c:pt>
                <c:pt idx="22">
                  <c:v>1151.4220000058515</c:v>
                </c:pt>
                <c:pt idx="23">
                  <c:v>1153.6280000047395</c:v>
                </c:pt>
                <c:pt idx="24" formatCode="#,##0.00">
                  <c:v>1155.8330000051371</c:v>
                </c:pt>
                <c:pt idx="25">
                  <c:v>1158.0480000032949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2349.7920000403046</c:v>
                </c:pt>
                <c:pt idx="1">
                  <c:v>2328.434000047067</c:v>
                </c:pt>
                <c:pt idx="2">
                  <c:v>2355.5810000448514</c:v>
                </c:pt>
                <c:pt idx="3">
                  <c:v>2409.3090000555685</c:v>
                </c:pt>
                <c:pt idx="4">
                  <c:v>2466.0289999994461</c:v>
                </c:pt>
                <c:pt idx="5">
                  <c:v>2527.3159999829504</c:v>
                </c:pt>
                <c:pt idx="6">
                  <c:v>2549.8929999975603</c:v>
                </c:pt>
                <c:pt idx="7">
                  <c:v>2508.3709999225484</c:v>
                </c:pt>
                <c:pt idx="8">
                  <c:v>2525.9009999467689</c:v>
                </c:pt>
                <c:pt idx="9">
                  <c:v>2523.798999987217</c:v>
                </c:pt>
                <c:pt idx="10">
                  <c:v>2531.7800000098377</c:v>
                </c:pt>
                <c:pt idx="11">
                  <c:v>2523.7530000923148</c:v>
                </c:pt>
                <c:pt idx="12">
                  <c:v>2517.9739999255053</c:v>
                </c:pt>
                <c:pt idx="13">
                  <c:v>2523.6319999118523</c:v>
                </c:pt>
                <c:pt idx="14">
                  <c:v>2532.3849999376885</c:v>
                </c:pt>
                <c:pt idx="15">
                  <c:v>2543.3239998348904</c:v>
                </c:pt>
                <c:pt idx="16">
                  <c:v>2550.0489998616472</c:v>
                </c:pt>
                <c:pt idx="17">
                  <c:v>2556.9479998646243</c:v>
                </c:pt>
                <c:pt idx="18">
                  <c:v>2564.2159998879506</c:v>
                </c:pt>
                <c:pt idx="19">
                  <c:v>2572.1239998704868</c:v>
                </c:pt>
                <c:pt idx="20">
                  <c:v>2582.1849998678217</c:v>
                </c:pt>
                <c:pt idx="21">
                  <c:v>2592.3189998799803</c:v>
                </c:pt>
                <c:pt idx="22">
                  <c:v>2602.4839998661332</c:v>
                </c:pt>
                <c:pt idx="23">
                  <c:v>2612.6879998563386</c:v>
                </c:pt>
                <c:pt idx="24" formatCode="#,##0.00">
                  <c:v>2622.9369998462957</c:v>
                </c:pt>
                <c:pt idx="25">
                  <c:v>2633.2330000334459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3233.0560000368814</c:v>
                </c:pt>
                <c:pt idx="1">
                  <c:v>3268.4930000253012</c:v>
                </c:pt>
                <c:pt idx="2">
                  <c:v>3284.6590000295455</c:v>
                </c:pt>
                <c:pt idx="3">
                  <c:v>3374.0730000354247</c:v>
                </c:pt>
                <c:pt idx="4">
                  <c:v>3447.6619999894046</c:v>
                </c:pt>
                <c:pt idx="5">
                  <c:v>3471.2599999517329</c:v>
                </c:pt>
                <c:pt idx="6">
                  <c:v>3526.9829999926665</c:v>
                </c:pt>
                <c:pt idx="7">
                  <c:v>3619.8569999739766</c:v>
                </c:pt>
                <c:pt idx="8">
                  <c:v>3582.0599999535343</c:v>
                </c:pt>
                <c:pt idx="9">
                  <c:v>3668.4709999604661</c:v>
                </c:pt>
                <c:pt idx="10">
                  <c:v>3648.0419999931851</c:v>
                </c:pt>
                <c:pt idx="11">
                  <c:v>3711.5940000339301</c:v>
                </c:pt>
                <c:pt idx="12">
                  <c:v>3758.9319999748059</c:v>
                </c:pt>
                <c:pt idx="13">
                  <c:v>3798.9469999648004</c:v>
                </c:pt>
                <c:pt idx="14">
                  <c:v>3847.4509999729003</c:v>
                </c:pt>
                <c:pt idx="15">
                  <c:v>3883.2139999648793</c:v>
                </c:pt>
                <c:pt idx="16">
                  <c:v>3911.6319999741418</c:v>
                </c:pt>
                <c:pt idx="17">
                  <c:v>3937.9029999363256</c:v>
                </c:pt>
                <c:pt idx="18">
                  <c:v>3963.4929999327574</c:v>
                </c:pt>
                <c:pt idx="19">
                  <c:v>3988.8469999273161</c:v>
                </c:pt>
                <c:pt idx="20">
                  <c:v>4013.9999999304073</c:v>
                </c:pt>
                <c:pt idx="21">
                  <c:v>4038.9699999219724</c:v>
                </c:pt>
                <c:pt idx="22">
                  <c:v>4063.8559999189138</c:v>
                </c:pt>
                <c:pt idx="23">
                  <c:v>4088.9279999071532</c:v>
                </c:pt>
                <c:pt idx="24" formatCode="#,##0.00">
                  <c:v>4114.3109999324424</c:v>
                </c:pt>
                <c:pt idx="25">
                  <c:v>4140.0339999968919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565.11799999881123</c:v>
                </c:pt>
                <c:pt idx="1">
                  <c:v>560.15399999951956</c:v>
                </c:pt>
                <c:pt idx="2">
                  <c:v>590.72799999853271</c:v>
                </c:pt>
                <c:pt idx="3">
                  <c:v>537.18899999782377</c:v>
                </c:pt>
                <c:pt idx="4">
                  <c:v>575.92199999819218</c:v>
                </c:pt>
                <c:pt idx="5">
                  <c:v>555.19600000041191</c:v>
                </c:pt>
                <c:pt idx="6">
                  <c:v>553.72499999804052</c:v>
                </c:pt>
                <c:pt idx="7">
                  <c:v>577.50600000218344</c:v>
                </c:pt>
                <c:pt idx="8">
                  <c:v>611.30000000292409</c:v>
                </c:pt>
                <c:pt idx="9">
                  <c:v>598.95700000140323</c:v>
                </c:pt>
                <c:pt idx="10">
                  <c:v>554.54399999805901</c:v>
                </c:pt>
                <c:pt idx="11">
                  <c:v>550.15299999736385</c:v>
                </c:pt>
                <c:pt idx="12">
                  <c:v>548.1149999995904</c:v>
                </c:pt>
                <c:pt idx="13">
                  <c:v>551.07499999931349</c:v>
                </c:pt>
                <c:pt idx="14">
                  <c:v>558.34199999823807</c:v>
                </c:pt>
                <c:pt idx="15">
                  <c:v>561.28600000060646</c:v>
                </c:pt>
                <c:pt idx="16">
                  <c:v>563.51400000009539</c:v>
                </c:pt>
                <c:pt idx="17">
                  <c:v>565.0130000009201</c:v>
                </c:pt>
                <c:pt idx="18">
                  <c:v>566.01300000000015</c:v>
                </c:pt>
                <c:pt idx="19">
                  <c:v>566.78900000049862</c:v>
                </c:pt>
                <c:pt idx="20">
                  <c:v>567.77900000068689</c:v>
                </c:pt>
                <c:pt idx="21">
                  <c:v>568.62500000083173</c:v>
                </c:pt>
                <c:pt idx="22">
                  <c:v>569.43900000114604</c:v>
                </c:pt>
                <c:pt idx="23">
                  <c:v>570.21900000177959</c:v>
                </c:pt>
                <c:pt idx="24">
                  <c:v>571.00799999999754</c:v>
                </c:pt>
                <c:pt idx="25">
                  <c:v>571.78499999819633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2166.6589999965036</c:v>
                </c:pt>
                <c:pt idx="1">
                  <c:v>2149.8609999941</c:v>
                </c:pt>
                <c:pt idx="2">
                  <c:v>2181.4089999949811</c:v>
                </c:pt>
                <c:pt idx="3">
                  <c:v>2135.4549999885012</c:v>
                </c:pt>
                <c:pt idx="4">
                  <c:v>2178.5729999917303</c:v>
                </c:pt>
                <c:pt idx="5">
                  <c:v>2197.641999999099</c:v>
                </c:pt>
                <c:pt idx="6">
                  <c:v>2214.8859999942242</c:v>
                </c:pt>
                <c:pt idx="7">
                  <c:v>2248.3400000089423</c:v>
                </c:pt>
                <c:pt idx="8">
                  <c:v>2285.5660000079924</c:v>
                </c:pt>
                <c:pt idx="9">
                  <c:v>2254.4499999968248</c:v>
                </c:pt>
                <c:pt idx="10">
                  <c:v>2208.4099999963055</c:v>
                </c:pt>
                <c:pt idx="11">
                  <c:v>2207.0889999898059</c:v>
                </c:pt>
                <c:pt idx="12">
                  <c:v>2186.5910000034587</c:v>
                </c:pt>
                <c:pt idx="13">
                  <c:v>2167.2190000030178</c:v>
                </c:pt>
                <c:pt idx="14">
                  <c:v>2151.6339999999454</c:v>
                </c:pt>
                <c:pt idx="15">
                  <c:v>2130.7230000115924</c:v>
                </c:pt>
                <c:pt idx="16">
                  <c:v>2111.3650000106513</c:v>
                </c:pt>
                <c:pt idx="17">
                  <c:v>2091.6410000128753</c:v>
                </c:pt>
                <c:pt idx="18">
                  <c:v>2072.582000010033</c:v>
                </c:pt>
                <c:pt idx="19">
                  <c:v>2054.2060000090696</c:v>
                </c:pt>
                <c:pt idx="20">
                  <c:v>2037.9850000124452</c:v>
                </c:pt>
                <c:pt idx="21">
                  <c:v>2021.1760000096592</c:v>
                </c:pt>
                <c:pt idx="22">
                  <c:v>2004.863000011432</c:v>
                </c:pt>
                <c:pt idx="23">
                  <c:v>1989.036000015742</c:v>
                </c:pt>
                <c:pt idx="24">
                  <c:v>1973.6880000130127</c:v>
                </c:pt>
                <c:pt idx="25">
                  <c:v>1959.1609999995239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1762.2880000026478</c:v>
                </c:pt>
                <c:pt idx="1">
                  <c:v>1726.0349999872144</c:v>
                </c:pt>
                <c:pt idx="2">
                  <c:v>1744.3209999920223</c:v>
                </c:pt>
                <c:pt idx="3">
                  <c:v>1730.5579999859333</c:v>
                </c:pt>
                <c:pt idx="4">
                  <c:v>1777.1559999742815</c:v>
                </c:pt>
                <c:pt idx="5">
                  <c:v>1800.3539999823467</c:v>
                </c:pt>
                <c:pt idx="6">
                  <c:v>1907.1309999771036</c:v>
                </c:pt>
                <c:pt idx="7">
                  <c:v>1989.7140000048064</c:v>
                </c:pt>
                <c:pt idx="8">
                  <c:v>1943.0150000180868</c:v>
                </c:pt>
                <c:pt idx="9">
                  <c:v>1996.7570000194821</c:v>
                </c:pt>
                <c:pt idx="10">
                  <c:v>1999.7949999736827</c:v>
                </c:pt>
                <c:pt idx="11">
                  <c:v>1977.5929999618268</c:v>
                </c:pt>
                <c:pt idx="12">
                  <c:v>1998.3539999393267</c:v>
                </c:pt>
                <c:pt idx="13">
                  <c:v>2043.6099999393082</c:v>
                </c:pt>
                <c:pt idx="14">
                  <c:v>2079.9439999263495</c:v>
                </c:pt>
                <c:pt idx="15">
                  <c:v>2097.9509999332668</c:v>
                </c:pt>
                <c:pt idx="16">
                  <c:v>2113.9159999377125</c:v>
                </c:pt>
                <c:pt idx="17">
                  <c:v>2125.5439999392152</c:v>
                </c:pt>
                <c:pt idx="18">
                  <c:v>2139.4879999260224</c:v>
                </c:pt>
                <c:pt idx="19">
                  <c:v>2152.4319999355243</c:v>
                </c:pt>
                <c:pt idx="20">
                  <c:v>2167.870999930889</c:v>
                </c:pt>
                <c:pt idx="21">
                  <c:v>2183.7949999419397</c:v>
                </c:pt>
                <c:pt idx="22">
                  <c:v>2200.2799999324802</c:v>
                </c:pt>
                <c:pt idx="23">
                  <c:v>2217.1909999481422</c:v>
                </c:pt>
                <c:pt idx="24" formatCode="#,##0.00">
                  <c:v>2234.4209999349132</c:v>
                </c:pt>
                <c:pt idx="25">
                  <c:v>2251.9169999468195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6948.4279999353193</c:v>
                </c:pt>
                <c:pt idx="1">
                  <c:v>7023.8129999517278</c:v>
                </c:pt>
                <c:pt idx="2">
                  <c:v>7177.8809999680561</c:v>
                </c:pt>
                <c:pt idx="3">
                  <c:v>7140.0469999739125</c:v>
                </c:pt>
                <c:pt idx="4">
                  <c:v>7355.0780000482964</c:v>
                </c:pt>
                <c:pt idx="5">
                  <c:v>7525.0560001205204</c:v>
                </c:pt>
                <c:pt idx="6">
                  <c:v>7745.3340000843227</c:v>
                </c:pt>
                <c:pt idx="7">
                  <c:v>7824.0570001095039</c:v>
                </c:pt>
                <c:pt idx="8">
                  <c:v>7855.8730001007834</c:v>
                </c:pt>
                <c:pt idx="9">
                  <c:v>8007.9100000778271</c:v>
                </c:pt>
                <c:pt idx="10">
                  <c:v>7878.5050000484925</c:v>
                </c:pt>
                <c:pt idx="11">
                  <c:v>7861.8999999586231</c:v>
                </c:pt>
                <c:pt idx="12">
                  <c:v>7911.6640001134638</c:v>
                </c:pt>
                <c:pt idx="13">
                  <c:v>7976.5250001457825</c:v>
                </c:pt>
                <c:pt idx="14">
                  <c:v>8047.4070001021591</c:v>
                </c:pt>
                <c:pt idx="15">
                  <c:v>8105.1010001628101</c:v>
                </c:pt>
                <c:pt idx="16">
                  <c:v>8151.0890001347798</c:v>
                </c:pt>
                <c:pt idx="17">
                  <c:v>8192.5630001263053</c:v>
                </c:pt>
                <c:pt idx="18">
                  <c:v>8231.5780001211715</c:v>
                </c:pt>
                <c:pt idx="19">
                  <c:v>8269.2380001186975</c:v>
                </c:pt>
                <c:pt idx="20">
                  <c:v>8307.6890001212705</c:v>
                </c:pt>
                <c:pt idx="21">
                  <c:v>8345.2880001168342</c:v>
                </c:pt>
                <c:pt idx="22">
                  <c:v>8382.0090001225435</c:v>
                </c:pt>
                <c:pt idx="23">
                  <c:v>8419.4550001326879</c:v>
                </c:pt>
                <c:pt idx="24">
                  <c:v>8455.5230001497384</c:v>
                </c:pt>
                <c:pt idx="25">
                  <c:v>8490.7949999848715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8200.2989999857436</c:v>
                </c:pt>
                <c:pt idx="1">
                  <c:v>8279.3959999947765</c:v>
                </c:pt>
                <c:pt idx="2">
                  <c:v>8562.5259999756327</c:v>
                </c:pt>
                <c:pt idx="3">
                  <c:v>8747.4439999631431</c:v>
                </c:pt>
                <c:pt idx="4">
                  <c:v>9335.5779999993047</c:v>
                </c:pt>
                <c:pt idx="5">
                  <c:v>9528.6389999687108</c:v>
                </c:pt>
                <c:pt idx="6">
                  <c:v>9735.5489999577403</c:v>
                </c:pt>
                <c:pt idx="7">
                  <c:v>9757.2949999792745</c:v>
                </c:pt>
                <c:pt idx="8">
                  <c:v>9841.5159999716052</c:v>
                </c:pt>
                <c:pt idx="9">
                  <c:v>10098.704999956528</c:v>
                </c:pt>
                <c:pt idx="10">
                  <c:v>9932.1719999788838</c:v>
                </c:pt>
                <c:pt idx="11">
                  <c:v>10059.769999965252</c:v>
                </c:pt>
                <c:pt idx="12">
                  <c:v>10108.309000045241</c:v>
                </c:pt>
                <c:pt idx="13">
                  <c:v>10175.854000037652</c:v>
                </c:pt>
                <c:pt idx="14">
                  <c:v>10244.82300006152</c:v>
                </c:pt>
                <c:pt idx="15">
                  <c:v>10297.576000100176</c:v>
                </c:pt>
                <c:pt idx="16">
                  <c:v>10353.75200008856</c:v>
                </c:pt>
                <c:pt idx="17">
                  <c:v>10409.153000126047</c:v>
                </c:pt>
                <c:pt idx="18">
                  <c:v>10464.030000126988</c:v>
                </c:pt>
                <c:pt idx="19">
                  <c:v>10519.501000143826</c:v>
                </c:pt>
                <c:pt idx="20">
                  <c:v>10578.028000143624</c:v>
                </c:pt>
                <c:pt idx="21">
                  <c:v>10635.377000133294</c:v>
                </c:pt>
                <c:pt idx="22">
                  <c:v>10693.1750001534</c:v>
                </c:pt>
                <c:pt idx="23">
                  <c:v>10750.830000146543</c:v>
                </c:pt>
                <c:pt idx="24">
                  <c:v>10808.07600012942</c:v>
                </c:pt>
                <c:pt idx="25">
                  <c:v>10865.118000035864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6828.4690000801638</c:v>
                </c:pt>
                <c:pt idx="1">
                  <c:v>6756.340000071481</c:v>
                </c:pt>
                <c:pt idx="2">
                  <c:v>6747.5740000710603</c:v>
                </c:pt>
                <c:pt idx="3">
                  <c:v>6876.4380000889469</c:v>
                </c:pt>
                <c:pt idx="4">
                  <c:v>7005.0639999851373</c:v>
                </c:pt>
                <c:pt idx="5">
                  <c:v>7049.2849999266728</c:v>
                </c:pt>
                <c:pt idx="6">
                  <c:v>7114.7649999842588</c:v>
                </c:pt>
                <c:pt idx="7">
                  <c:v>7163.4749998905318</c:v>
                </c:pt>
                <c:pt idx="8">
                  <c:v>7156.7549998943869</c:v>
                </c:pt>
                <c:pt idx="9">
                  <c:v>7255.9809999418121</c:v>
                </c:pt>
                <c:pt idx="10">
                  <c:v>7286.2549999996081</c:v>
                </c:pt>
                <c:pt idx="11">
                  <c:v>7344.6140001238564</c:v>
                </c:pt>
                <c:pt idx="12">
                  <c:v>7396.1379998995726</c:v>
                </c:pt>
                <c:pt idx="13">
                  <c:v>7447.356999874708</c:v>
                </c:pt>
                <c:pt idx="14">
                  <c:v>7511.6519999116699</c:v>
                </c:pt>
                <c:pt idx="15">
                  <c:v>7562.11099980158</c:v>
                </c:pt>
                <c:pt idx="16">
                  <c:v>7599.5509998383104</c:v>
                </c:pt>
                <c:pt idx="17">
                  <c:v>7634.9999998051808</c:v>
                </c:pt>
                <c:pt idx="18">
                  <c:v>7670.1289998248594</c:v>
                </c:pt>
                <c:pt idx="19">
                  <c:v>7705.6579998037741</c:v>
                </c:pt>
                <c:pt idx="20">
                  <c:v>7743.173999803912</c:v>
                </c:pt>
                <c:pt idx="21">
                  <c:v>7780.4879998074612</c:v>
                </c:pt>
                <c:pt idx="22">
                  <c:v>7817.7619997908987</c:v>
                </c:pt>
                <c:pt idx="23">
                  <c:v>7855.2439997682313</c:v>
                </c:pt>
                <c:pt idx="24">
                  <c:v>7893.0809997838751</c:v>
                </c:pt>
                <c:pt idx="25">
                  <c:v>7931.3150000336327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24.59953478757464</c:v>
                </c:pt>
                <c:pt idx="1">
                  <c:v>24.401650506583845</c:v>
                </c:pt>
                <c:pt idx="2">
                  <c:v>24.73118956860429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33.251611554988756</c:v>
                </c:pt>
                <c:pt idx="1">
                  <c:v>33.26282018880422</c:v>
                </c:pt>
                <c:pt idx="2">
                  <c:v>33.879286466746329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26.259808882083448</c:v>
                </c:pt>
                <c:pt idx="1">
                  <c:v>26.385094335233529</c:v>
                </c:pt>
                <c:pt idx="2">
                  <c:v>26.47574339587986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6.2826046688388368</c:v>
                </c:pt>
                <c:pt idx="1">
                  <c:v>6.6973086550188379</c:v>
                </c:pt>
                <c:pt idx="2">
                  <c:v>7.0218603369316819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7.6690005908649317</c:v>
                </c:pt>
                <c:pt idx="1">
                  <c:v>7.3959597893784386</c:v>
                </c:pt>
                <c:pt idx="2">
                  <c:v>6.1089973208981254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1.9374395156493867</c:v>
                </c:pt>
                <c:pt idx="1">
                  <c:v>1.8571665249811318</c:v>
                </c:pt>
                <c:pt idx="2">
                  <c:v>1.7829229109397164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236.97000007293536</c:v>
                </c:pt>
                <c:pt idx="1">
                  <c:v>403.53300001017669</c:v>
                </c:pt>
                <c:pt idx="2">
                  <c:v>353.44899992796945</c:v>
                </c:pt>
                <c:pt idx="3">
                  <c:v>199.44099999133596</c:v>
                </c:pt>
                <c:pt idx="4">
                  <c:v>10.767999997206516</c:v>
                </c:pt>
                <c:pt idx="5">
                  <c:v>-0.65200000235279276</c:v>
                </c:pt>
                <c:pt idx="7">
                  <c:v>1203.5089999972697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645.0600000340246</c:v>
                </c:pt>
                <c:pt idx="1">
                  <c:v>932.94600005697612</c:v>
                </c:pt>
                <c:pt idx="2">
                  <c:v>612.2899999363799</c:v>
                </c:pt>
                <c:pt idx="3">
                  <c:v>252.12199997313724</c:v>
                </c:pt>
                <c:pt idx="4">
                  <c:v>-249.248999996782</c:v>
                </c:pt>
                <c:pt idx="5">
                  <c:v>17.241000000137433</c:v>
                </c:pt>
                <c:pt idx="7">
                  <c:v>2210.4100000038734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0.477233431154378</c:v>
                </c:pt>
                <c:pt idx="2">
                  <c:v>-4.6667681845247166E-2</c:v>
                </c:pt>
                <c:pt idx="3">
                  <c:v>-1.4735689558833975</c:v>
                </c:pt>
                <c:pt idx="4">
                  <c:v>-0.21283793663661177</c:v>
                </c:pt>
                <c:pt idx="6">
                  <c:v>0.49349139431071887</c:v>
                </c:pt>
                <c:pt idx="7">
                  <c:v>1.107646384199712</c:v>
                </c:pt>
                <c:pt idx="8">
                  <c:v>0.72400034116195666</c:v>
                </c:pt>
                <c:pt idx="10">
                  <c:v>2.6035716235012663</c:v>
                </c:pt>
                <c:pt idx="11">
                  <c:v>-0.81292691960828112</c:v>
                </c:pt>
                <c:pt idx="12">
                  <c:v>7.4290017933420494E-2</c:v>
                </c:pt>
                <c:pt idx="14">
                  <c:v>-0.87560116228070362</c:v>
                </c:pt>
                <c:pt idx="15">
                  <c:v>0.37966840586167727</c:v>
                </c:pt>
                <c:pt idx="16">
                  <c:v>1.175749416158367</c:v>
                </c:pt>
                <c:pt idx="17">
                  <c:v>0.9762195794202011</c:v>
                </c:pt>
                <c:pt idx="19">
                  <c:v>4.6149139312401388E-2</c:v>
                </c:pt>
                <c:pt idx="20">
                  <c:v>-3.7826653931716248E-2</c:v>
                </c:pt>
                <c:pt idx="21">
                  <c:v>-0.39716687477455714</c:v>
                </c:pt>
                <c:pt idx="22">
                  <c:v>0.8800468813655149</c:v>
                </c:pt>
                <c:pt idx="23">
                  <c:v>-4.2992977080535955E-2</c:v>
                </c:pt>
                <c:pt idx="25">
                  <c:v>-1.2597887675764419</c:v>
                </c:pt>
                <c:pt idx="26">
                  <c:v>-0.90370306633366093</c:v>
                </c:pt>
                <c:pt idx="27">
                  <c:v>-0.96717584556493819</c:v>
                </c:pt>
                <c:pt idx="29">
                  <c:v>6.7891509494089064E-2</c:v>
                </c:pt>
                <c:pt idx="30">
                  <c:v>0.63659013431613953</c:v>
                </c:pt>
                <c:pt idx="31">
                  <c:v>2.1428952180943206</c:v>
                </c:pt>
                <c:pt idx="32">
                  <c:v>0.70556469457463411</c:v>
                </c:pt>
                <c:pt idx="33">
                  <c:v>-0.34992770423570851</c:v>
                </c:pt>
                <c:pt idx="34">
                  <c:v>0.37767382971936048</c:v>
                </c:pt>
                <c:pt idx="36">
                  <c:v>1.5491443092783719</c:v>
                </c:pt>
                <c:pt idx="37">
                  <c:v>0.83303865401318511</c:v>
                </c:pt>
                <c:pt idx="38">
                  <c:v>1.0715617886405404</c:v>
                </c:pt>
                <c:pt idx="39">
                  <c:v>1.1113918569869208</c:v>
                </c:pt>
                <c:pt idx="40">
                  <c:v>1.1918424533805316</c:v>
                </c:pt>
                <c:pt idx="42">
                  <c:v>2.4304416563410314</c:v>
                </c:pt>
                <c:pt idx="43">
                  <c:v>0.1910632416767255</c:v>
                </c:pt>
                <c:pt idx="44">
                  <c:v>0.94408761033182298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0.82619957207423766</c:v>
                </c:pt>
                <c:pt idx="2">
                  <c:v>-1.5031422031040464</c:v>
                </c:pt>
                <c:pt idx="3">
                  <c:v>-4.3333644293368057</c:v>
                </c:pt>
                <c:pt idx="4">
                  <c:v>-1.8913017096546914</c:v>
                </c:pt>
                <c:pt idx="6">
                  <c:v>1.5996146886210205E-2</c:v>
                </c:pt>
                <c:pt idx="7">
                  <c:v>-3.1673095902230775</c:v>
                </c:pt>
                <c:pt idx="8">
                  <c:v>-1.2197608898178558</c:v>
                </c:pt>
                <c:pt idx="10">
                  <c:v>2.1041427488282416</c:v>
                </c:pt>
                <c:pt idx="11">
                  <c:v>-1.4448036019851229</c:v>
                </c:pt>
                <c:pt idx="12">
                  <c:v>-0.74000500007874725</c:v>
                </c:pt>
                <c:pt idx="14">
                  <c:v>1.9361901365344769</c:v>
                </c:pt>
                <c:pt idx="15">
                  <c:v>-6.1374739345343432E-2</c:v>
                </c:pt>
                <c:pt idx="16">
                  <c:v>-4.2024002709906139E-2</c:v>
                </c:pt>
                <c:pt idx="17">
                  <c:v>-2.4453371553012637E-2</c:v>
                </c:pt>
                <c:pt idx="19">
                  <c:v>-2.8675292689798626</c:v>
                </c:pt>
                <c:pt idx="20">
                  <c:v>-3.5207429894939968</c:v>
                </c:pt>
                <c:pt idx="21">
                  <c:v>-2.3282691912878573</c:v>
                </c:pt>
                <c:pt idx="22">
                  <c:v>-1.9194706789793292</c:v>
                </c:pt>
                <c:pt idx="23">
                  <c:v>-2.7758639088215742</c:v>
                </c:pt>
                <c:pt idx="25">
                  <c:v>-2.20542245349582</c:v>
                </c:pt>
                <c:pt idx="26">
                  <c:v>0.51344497255396693</c:v>
                </c:pt>
                <c:pt idx="27">
                  <c:v>-1.5648191373662801E-2</c:v>
                </c:pt>
                <c:pt idx="29">
                  <c:v>2.1004167757346481</c:v>
                </c:pt>
                <c:pt idx="30">
                  <c:v>1.5845421248475766</c:v>
                </c:pt>
                <c:pt idx="31">
                  <c:v>1.7798687702755389</c:v>
                </c:pt>
                <c:pt idx="32">
                  <c:v>2.9002875168829156</c:v>
                </c:pt>
                <c:pt idx="33">
                  <c:v>5.0154403194468511</c:v>
                </c:pt>
                <c:pt idx="34">
                  <c:v>2.4830943556996887</c:v>
                </c:pt>
                <c:pt idx="36">
                  <c:v>4.965415111673388</c:v>
                </c:pt>
                <c:pt idx="37">
                  <c:v>1.9595828464244347</c:v>
                </c:pt>
                <c:pt idx="38">
                  <c:v>2.9700976944834645</c:v>
                </c:pt>
                <c:pt idx="39">
                  <c:v>3.6799219059760802</c:v>
                </c:pt>
                <c:pt idx="40">
                  <c:v>3.5583797355010827</c:v>
                </c:pt>
                <c:pt idx="42">
                  <c:v>1.5449539223747921</c:v>
                </c:pt>
                <c:pt idx="43">
                  <c:v>3.9090403798000217</c:v>
                </c:pt>
                <c:pt idx="44">
                  <c:v>3.1592954795900186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401.42954662195348</c:v>
                </c:pt>
                <c:pt idx="1">
                  <c:v>73.578551759897096</c:v>
                </c:pt>
                <c:pt idx="2">
                  <c:v>313.9179180273627</c:v>
                </c:pt>
                <c:pt idx="3">
                  <c:v>184.29516699475062</c:v>
                </c:pt>
                <c:pt idx="4">
                  <c:v>138.7555621839897</c:v>
                </c:pt>
                <c:pt idx="5">
                  <c:v>492.69561752709978</c:v>
                </c:pt>
                <c:pt idx="6">
                  <c:v>128.43134791595526</c:v>
                </c:pt>
                <c:pt idx="7">
                  <c:v>75.761377652310216</c:v>
                </c:pt>
                <c:pt idx="8">
                  <c:v>27.161356015765136</c:v>
                </c:pt>
                <c:pt idx="9">
                  <c:v>51.305039435336198</c:v>
                </c:pt>
                <c:pt idx="10">
                  <c:v>196.5876332453081</c:v>
                </c:pt>
                <c:pt idx="11">
                  <c:v>65.084542483505174</c:v>
                </c:pt>
                <c:pt idx="12">
                  <c:v>-67.547965455410122</c:v>
                </c:pt>
                <c:pt idx="13">
                  <c:v>-27.600501417702219</c:v>
                </c:pt>
                <c:pt idx="14">
                  <c:v>-115.80179817862347</c:v>
                </c:pt>
                <c:pt idx="15">
                  <c:v>-150.6537718299528</c:v>
                </c:pt>
                <c:pt idx="16">
                  <c:v>-85.356637282106021</c:v>
                </c:pt>
                <c:pt idx="17">
                  <c:v>-4.2623709375370709</c:v>
                </c:pt>
                <c:pt idx="18">
                  <c:v>-1.9229327600170336</c:v>
                </c:pt>
                <c:pt idx="19">
                  <c:v>2.9022387846755748</c:v>
                </c:pt>
                <c:pt idx="20">
                  <c:v>-139.81221628434855</c:v>
                </c:pt>
                <c:pt idx="21">
                  <c:v>50.430839648163271</c:v>
                </c:pt>
                <c:pt idx="22">
                  <c:v>-106.03143664775394</c:v>
                </c:pt>
                <c:pt idx="23">
                  <c:v>0.84327657813219048</c:v>
                </c:pt>
                <c:pt idx="24">
                  <c:v>-94.556621086613688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66.830831260384002</c:v>
                </c:pt>
                <c:pt idx="1">
                  <c:v>432.36780951669675</c:v>
                </c:pt>
                <c:pt idx="2">
                  <c:v>342.43536345912639</c:v>
                </c:pt>
                <c:pt idx="3">
                  <c:v>234.69634350282377</c:v>
                </c:pt>
                <c:pt idx="4">
                  <c:v>198.83493812972642</c:v>
                </c:pt>
                <c:pt idx="5">
                  <c:v>593.80917756597091</c:v>
                </c:pt>
                <c:pt idx="6">
                  <c:v>-30.309211038347598</c:v>
                </c:pt>
                <c:pt idx="7">
                  <c:v>63.260756047701989</c:v>
                </c:pt>
                <c:pt idx="8">
                  <c:v>120.45198686711041</c:v>
                </c:pt>
                <c:pt idx="9">
                  <c:v>67.774691296335163</c:v>
                </c:pt>
                <c:pt idx="10">
                  <c:v>20.377338341135783</c:v>
                </c:pt>
                <c:pt idx="11">
                  <c:v>-327.73892518532239</c:v>
                </c:pt>
                <c:pt idx="12">
                  <c:v>-99.169356406169413</c:v>
                </c:pt>
                <c:pt idx="13">
                  <c:v>38.097449706564475</c:v>
                </c:pt>
                <c:pt idx="14">
                  <c:v>-53.679452307727388</c:v>
                </c:pt>
                <c:pt idx="15">
                  <c:v>-4.3436953863813415</c:v>
                </c:pt>
                <c:pt idx="16">
                  <c:v>3.7856769421754279</c:v>
                </c:pt>
                <c:pt idx="17">
                  <c:v>388.26730827253959</c:v>
                </c:pt>
                <c:pt idx="18">
                  <c:v>36.582939945507633</c:v>
                </c:pt>
                <c:pt idx="19">
                  <c:v>-3.9229759428137037</c:v>
                </c:pt>
                <c:pt idx="20">
                  <c:v>-213.45740286104524</c:v>
                </c:pt>
                <c:pt idx="21">
                  <c:v>239.91940802465979</c:v>
                </c:pt>
                <c:pt idx="22">
                  <c:v>109.10947651291474</c:v>
                </c:pt>
                <c:pt idx="23">
                  <c:v>80.84024964500486</c:v>
                </c:pt>
                <c:pt idx="24">
                  <c:v>-76.129011452518796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475.00809838185023</c:v>
                </c:pt>
                <c:pt idx="1">
                  <c:v>1129.6642647332028</c:v>
                </c:pt>
                <c:pt idx="2">
                  <c:v>479.24675426467456</c:v>
                </c:pt>
                <c:pt idx="3">
                  <c:v>-2.4634229719049472</c:v>
                </c:pt>
                <c:pt idx="4">
                  <c:v>-379.41270870838434</c:v>
                </c:pt>
                <c:pt idx="5">
                  <c:v>-3.2830649128786717</c:v>
                </c:pt>
                <c:pt idx="6">
                  <c:v>-89.381376636184996</c:v>
                </c:pt>
                <c:pt idx="7">
                  <c:v>-105.18816006962197</c:v>
                </c:pt>
                <c:pt idx="8">
                  <c:v>-300.68138408349751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499.19864077708098</c:v>
                </c:pt>
                <c:pt idx="1">
                  <c:v>1369.775822657648</c:v>
                </c:pt>
                <c:pt idx="2">
                  <c:v>241.55556151393557</c:v>
                </c:pt>
                <c:pt idx="3">
                  <c:v>-426.90828159149214</c:v>
                </c:pt>
                <c:pt idx="4">
                  <c:v>-16.140021045368485</c:v>
                </c:pt>
                <c:pt idx="5">
                  <c:v>420.92727227523346</c:v>
                </c:pt>
                <c:pt idx="6">
                  <c:v>26.462005163614322</c:v>
                </c:pt>
                <c:pt idx="7">
                  <c:v>189.94972615791971</c:v>
                </c:pt>
                <c:pt idx="8">
                  <c:v>-94.410725904691844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1555.0928290692907</c:v>
                </c:pt>
                <c:pt idx="1">
                  <c:v>1701.6753313117376</c:v>
                </c:pt>
                <c:pt idx="2">
                  <c:v>1768.8376003986216</c:v>
                </c:pt>
                <c:pt idx="3">
                  <c:v>1803.8616337069168</c:v>
                </c:pt>
                <c:pt idx="4">
                  <c:v>1783.5778246208411</c:v>
                </c:pt>
                <c:pt idx="5">
                  <c:v>1899.433639026867</c:v>
                </c:pt>
                <c:pt idx="6">
                  <c:v>2045.5640482225749</c:v>
                </c:pt>
                <c:pt idx="7">
                  <c:v>2109.9783428562941</c:v>
                </c:pt>
                <c:pt idx="8">
                  <c:v>2146.7915220075402</c:v>
                </c:pt>
                <c:pt idx="9">
                  <c:v>2252.4434759690844</c:v>
                </c:pt>
                <c:pt idx="10">
                  <c:v>2300.8631856488205</c:v>
                </c:pt>
                <c:pt idx="11">
                  <c:v>2069.1262987011351</c:v>
                </c:pt>
                <c:pt idx="12">
                  <c:v>2090.1902449552408</c:v>
                </c:pt>
                <c:pt idx="13">
                  <c:v>2115.5390536905538</c:v>
                </c:pt>
                <c:pt idx="14">
                  <c:v>2142.1630901357862</c:v>
                </c:pt>
                <c:pt idx="15">
                  <c:v>2163.7370255462979</c:v>
                </c:pt>
                <c:pt idx="16">
                  <c:v>2183.9499077187875</c:v>
                </c:pt>
                <c:pt idx="17">
                  <c:v>2203.3062683592366</c:v>
                </c:pt>
                <c:pt idx="18">
                  <c:v>2222.7838152363825</c:v>
                </c:pt>
                <c:pt idx="19">
                  <c:v>2242.3466656614969</c:v>
                </c:pt>
                <c:pt idx="20">
                  <c:v>2262.9367802446009</c:v>
                </c:pt>
                <c:pt idx="21">
                  <c:v>2283.4308333099038</c:v>
                </c:pt>
                <c:pt idx="22">
                  <c:v>2304.2069645378624</c:v>
                </c:pt>
                <c:pt idx="23">
                  <c:v>2325.2129295879622</c:v>
                </c:pt>
                <c:pt idx="24">
                  <c:v>2346.4202428492276</c:v>
                </c:pt>
                <c:pt idx="25">
                  <c:v>2367.6940169092045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726.53286960006085</c:v>
                </c:pt>
                <c:pt idx="1">
                  <c:v>809.76027474962109</c:v>
                </c:pt>
                <c:pt idx="2">
                  <c:v>844.73722938445633</c:v>
                </c:pt>
                <c:pt idx="3">
                  <c:v>851.66713162237261</c:v>
                </c:pt>
                <c:pt idx="4">
                  <c:v>949.54639855717244</c:v>
                </c:pt>
                <c:pt idx="5">
                  <c:v>923.52132759385643</c:v>
                </c:pt>
                <c:pt idx="6">
                  <c:v>869.01550996773665</c:v>
                </c:pt>
                <c:pt idx="7">
                  <c:v>938.01163316265843</c:v>
                </c:pt>
                <c:pt idx="8">
                  <c:v>948.17636852090038</c:v>
                </c:pt>
                <c:pt idx="9">
                  <c:v>989.3442272202127</c:v>
                </c:pt>
                <c:pt idx="10">
                  <c:v>997.09987935375352</c:v>
                </c:pt>
                <c:pt idx="11">
                  <c:v>1155.18375776933</c:v>
                </c:pt>
                <c:pt idx="12">
                  <c:v>1174.055078468816</c:v>
                </c:pt>
                <c:pt idx="13">
                  <c:v>1195.7009604240111</c:v>
                </c:pt>
                <c:pt idx="14">
                  <c:v>1218.2415516253529</c:v>
                </c:pt>
                <c:pt idx="15">
                  <c:v>1237.9309873568443</c:v>
                </c:pt>
                <c:pt idx="16">
                  <c:v>1256.8090728735033</c:v>
                </c:pt>
                <c:pt idx="17">
                  <c:v>1275.2636979321844</c:v>
                </c:pt>
                <c:pt idx="18">
                  <c:v>1293.8107983953091</c:v>
                </c:pt>
                <c:pt idx="19">
                  <c:v>1312.4363012362937</c:v>
                </c:pt>
                <c:pt idx="20">
                  <c:v>1331.7496868155138</c:v>
                </c:pt>
                <c:pt idx="21">
                  <c:v>1351.1206547007534</c:v>
                </c:pt>
                <c:pt idx="22">
                  <c:v>1370.6496765215791</c:v>
                </c:pt>
                <c:pt idx="23">
                  <c:v>1390.2536158242322</c:v>
                </c:pt>
                <c:pt idx="24">
                  <c:v>1409.8226921514699</c:v>
                </c:pt>
                <c:pt idx="25">
                  <c:v>1429.4676888704503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1420.1871427982635</c:v>
                </c:pt>
                <c:pt idx="1">
                  <c:v>1371.03019083965</c:v>
                </c:pt>
                <c:pt idx="2">
                  <c:v>1410.8536520703931</c:v>
                </c:pt>
                <c:pt idx="3">
                  <c:v>1421.8298267210994</c:v>
                </c:pt>
                <c:pt idx="4">
                  <c:v>1524.5507102970569</c:v>
                </c:pt>
                <c:pt idx="5">
                  <c:v>1585.0798970775465</c:v>
                </c:pt>
                <c:pt idx="6">
                  <c:v>1675.9861851188994</c:v>
                </c:pt>
                <c:pt idx="7">
                  <c:v>1640.6753711170343</c:v>
                </c:pt>
                <c:pt idx="8">
                  <c:v>1750.0156419990567</c:v>
                </c:pt>
                <c:pt idx="9">
                  <c:v>1824.270392837615</c:v>
                </c:pt>
                <c:pt idx="10">
                  <c:v>1898.9978151049093</c:v>
                </c:pt>
                <c:pt idx="11">
                  <c:v>1920.9313981662922</c:v>
                </c:pt>
                <c:pt idx="12">
                  <c:v>1943.3375694202732</c:v>
                </c:pt>
                <c:pt idx="13">
                  <c:v>1969.9466543597582</c:v>
                </c:pt>
                <c:pt idx="14">
                  <c:v>1997.6138067551483</c:v>
                </c:pt>
                <c:pt idx="15">
                  <c:v>2020.6337313843233</c:v>
                </c:pt>
                <c:pt idx="16">
                  <c:v>2042.5823354979607</c:v>
                </c:pt>
                <c:pt idx="17">
                  <c:v>2063.7410264487312</c:v>
                </c:pt>
                <c:pt idx="18">
                  <c:v>2085.0594841897887</c:v>
                </c:pt>
                <c:pt idx="19">
                  <c:v>2106.4770165054747</c:v>
                </c:pt>
                <c:pt idx="20">
                  <c:v>2128.7511914131446</c:v>
                </c:pt>
                <c:pt idx="21">
                  <c:v>2150.9316961487953</c:v>
                </c:pt>
                <c:pt idx="22">
                  <c:v>2173.3162915746693</c:v>
                </c:pt>
                <c:pt idx="23">
                  <c:v>2195.8980881187858</c:v>
                </c:pt>
                <c:pt idx="24">
                  <c:v>2218.5716764356225</c:v>
                </c:pt>
                <c:pt idx="25">
                  <c:v>2241.4331785640356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1003.1062302288118</c:v>
                </c:pt>
                <c:pt idx="1">
                  <c:v>1064.0410909171362</c:v>
                </c:pt>
                <c:pt idx="2">
                  <c:v>1102.527517522215</c:v>
                </c:pt>
                <c:pt idx="3">
                  <c:v>1134.0024383377586</c:v>
                </c:pt>
                <c:pt idx="4">
                  <c:v>1164.7839841833836</c:v>
                </c:pt>
                <c:pt idx="5">
                  <c:v>1169.4428202608062</c:v>
                </c:pt>
                <c:pt idx="6">
                  <c:v>1222.7706178330977</c:v>
                </c:pt>
                <c:pt idx="7">
                  <c:v>1283.4823875362076</c:v>
                </c:pt>
                <c:pt idx="8">
                  <c:v>1286.511553583967</c:v>
                </c:pt>
                <c:pt idx="9">
                  <c:v>1354.656644154659</c:v>
                </c:pt>
                <c:pt idx="10">
                  <c:v>1353.7379872555568</c:v>
                </c:pt>
                <c:pt idx="11">
                  <c:v>1399.7278784339899</c:v>
                </c:pt>
                <c:pt idx="12">
                  <c:v>1413.1852977262731</c:v>
                </c:pt>
                <c:pt idx="13">
                  <c:v>1428.886927598111</c:v>
                </c:pt>
                <c:pt idx="14">
                  <c:v>1445.8892222650861</c:v>
                </c:pt>
                <c:pt idx="15">
                  <c:v>1459.9671953626994</c:v>
                </c:pt>
                <c:pt idx="16">
                  <c:v>1472.9789498176683</c:v>
                </c:pt>
                <c:pt idx="17">
                  <c:v>1485.5547003726749</c:v>
                </c:pt>
                <c:pt idx="18">
                  <c:v>1498.1472613005162</c:v>
                </c:pt>
                <c:pt idx="19">
                  <c:v>1510.3765259844338</c:v>
                </c:pt>
                <c:pt idx="20">
                  <c:v>1523.2934237281725</c:v>
                </c:pt>
                <c:pt idx="21">
                  <c:v>1536.2736618556842</c:v>
                </c:pt>
                <c:pt idx="22">
                  <c:v>1549.3482658718935</c:v>
                </c:pt>
                <c:pt idx="23">
                  <c:v>1562.5887256700303</c:v>
                </c:pt>
                <c:pt idx="24">
                  <c:v>1575.6252484958377</c:v>
                </c:pt>
                <c:pt idx="25">
                  <c:v>1588.4343307583806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1297.4817116619042</c:v>
                </c:pt>
                <c:pt idx="1">
                  <c:v>1295.5041258612828</c:v>
                </c:pt>
                <c:pt idx="2">
                  <c:v>1304.7901020474005</c:v>
                </c:pt>
                <c:pt idx="3">
                  <c:v>1321.8378949594814</c:v>
                </c:pt>
                <c:pt idx="4">
                  <c:v>1349.6706922222211</c:v>
                </c:pt>
                <c:pt idx="5">
                  <c:v>1361.749185159139</c:v>
                </c:pt>
                <c:pt idx="6">
                  <c:v>1414.0951948998788</c:v>
                </c:pt>
                <c:pt idx="7">
                  <c:v>1370.7149536025515</c:v>
                </c:pt>
                <c:pt idx="8">
                  <c:v>1392.5093588649404</c:v>
                </c:pt>
                <c:pt idx="9">
                  <c:v>1441.2390325186961</c:v>
                </c:pt>
                <c:pt idx="10">
                  <c:v>1500.5047473431287</c:v>
                </c:pt>
                <c:pt idx="11">
                  <c:v>1505.1976026937753</c:v>
                </c:pt>
                <c:pt idx="12">
                  <c:v>1513.7629773643962</c:v>
                </c:pt>
                <c:pt idx="13">
                  <c:v>1529.4329399826167</c:v>
                </c:pt>
                <c:pt idx="14">
                  <c:v>1546.80101298612</c:v>
                </c:pt>
                <c:pt idx="15">
                  <c:v>1561.7727543970723</c:v>
                </c:pt>
                <c:pt idx="16">
                  <c:v>1575.7498299237186</c:v>
                </c:pt>
                <c:pt idx="17">
                  <c:v>1589.2511830351773</c:v>
                </c:pt>
                <c:pt idx="18">
                  <c:v>1602.6330130597937</c:v>
                </c:pt>
                <c:pt idx="19">
                  <c:v>1615.964189694183</c:v>
                </c:pt>
                <c:pt idx="20">
                  <c:v>1629.7939933651248</c:v>
                </c:pt>
                <c:pt idx="21">
                  <c:v>1643.5363367899381</c:v>
                </c:pt>
                <c:pt idx="22">
                  <c:v>1657.3204854619489</c:v>
                </c:pt>
                <c:pt idx="23">
                  <c:v>1671.2629574204211</c:v>
                </c:pt>
                <c:pt idx="24">
                  <c:v>1685.2845258034954</c:v>
                </c:pt>
                <c:pt idx="25">
                  <c:v>1699.3396854728551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1771.1979931311132</c:v>
                </c:pt>
                <c:pt idx="1">
                  <c:v>1672.3544254051124</c:v>
                </c:pt>
                <c:pt idx="2">
                  <c:v>1691.7599888954101</c:v>
                </c:pt>
                <c:pt idx="3">
                  <c:v>1774.6569131666597</c:v>
                </c:pt>
                <c:pt idx="4">
                  <c:v>1823.1515347704856</c:v>
                </c:pt>
                <c:pt idx="5">
                  <c:v>1796.9718795456633</c:v>
                </c:pt>
                <c:pt idx="6">
                  <c:v>1939.116717070697</c:v>
                </c:pt>
                <c:pt idx="7">
                  <c:v>1945.3390799154929</c:v>
                </c:pt>
                <c:pt idx="8">
                  <c:v>2039.233478140331</c:v>
                </c:pt>
                <c:pt idx="9">
                  <c:v>2126.0095445543111</c:v>
                </c:pt>
                <c:pt idx="10">
                  <c:v>2289.6674970727631</c:v>
                </c:pt>
                <c:pt idx="11">
                  <c:v>2436.2757506642702</c:v>
                </c:pt>
                <c:pt idx="12">
                  <c:v>2468.2474810562267</c:v>
                </c:pt>
                <c:pt idx="13">
                  <c:v>2504.8163345157127</c:v>
                </c:pt>
                <c:pt idx="14">
                  <c:v>2543.1136846668614</c:v>
                </c:pt>
                <c:pt idx="15">
                  <c:v>2575.4665831091975</c:v>
                </c:pt>
                <c:pt idx="16">
                  <c:v>2606.1901282920594</c:v>
                </c:pt>
                <c:pt idx="17">
                  <c:v>2635.9864803722553</c:v>
                </c:pt>
                <c:pt idx="18">
                  <c:v>2665.7830247183651</c:v>
                </c:pt>
                <c:pt idx="19">
                  <c:v>2695.6974156215979</c:v>
                </c:pt>
                <c:pt idx="20">
                  <c:v>2726.7410757250127</c:v>
                </c:pt>
                <c:pt idx="21">
                  <c:v>2757.5523006175035</c:v>
                </c:pt>
                <c:pt idx="22">
                  <c:v>2788.6480782633093</c:v>
                </c:pt>
                <c:pt idx="23">
                  <c:v>2820.0575947736747</c:v>
                </c:pt>
                <c:pt idx="24">
                  <c:v>2851.6711200234495</c:v>
                </c:pt>
                <c:pt idx="25">
                  <c:v>2883.476674638734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467.45212498258547</c:v>
                </c:pt>
                <c:pt idx="1">
                  <c:v>458.96429447052856</c:v>
                </c:pt>
                <c:pt idx="2">
                  <c:v>476.81921516189578</c:v>
                </c:pt>
                <c:pt idx="3">
                  <c:v>486.6087167273655</c:v>
                </c:pt>
                <c:pt idx="4">
                  <c:v>460.94644461315301</c:v>
                </c:pt>
                <c:pt idx="5">
                  <c:v>463.28274271165401</c:v>
                </c:pt>
                <c:pt idx="6">
                  <c:v>493.3111167671247</c:v>
                </c:pt>
                <c:pt idx="7">
                  <c:v>544.2930239474066</c:v>
                </c:pt>
                <c:pt idx="8">
                  <c:v>557.78804474796038</c:v>
                </c:pt>
                <c:pt idx="9">
                  <c:v>545.82660644977284</c:v>
                </c:pt>
                <c:pt idx="10">
                  <c:v>591.71409062760927</c:v>
                </c:pt>
                <c:pt idx="11">
                  <c:v>506.2302936357982</c:v>
                </c:pt>
                <c:pt idx="12">
                  <c:v>510.08570168792465</c:v>
                </c:pt>
                <c:pt idx="13">
                  <c:v>515.0460904356479</c:v>
                </c:pt>
                <c:pt idx="14">
                  <c:v>520.29604573573715</c:v>
                </c:pt>
                <c:pt idx="15">
                  <c:v>524.31655610528492</c:v>
                </c:pt>
                <c:pt idx="16">
                  <c:v>528.06511630941282</c:v>
                </c:pt>
                <c:pt idx="17">
                  <c:v>531.53443042620779</c:v>
                </c:pt>
                <c:pt idx="18">
                  <c:v>534.96805756101185</c:v>
                </c:pt>
                <c:pt idx="19">
                  <c:v>538.45002170576799</c:v>
                </c:pt>
                <c:pt idx="20">
                  <c:v>542.20830560718946</c:v>
                </c:pt>
                <c:pt idx="21">
                  <c:v>545.94892170495007</c:v>
                </c:pt>
                <c:pt idx="22">
                  <c:v>549.75931166291252</c:v>
                </c:pt>
                <c:pt idx="23">
                  <c:v>553.60790320973899</c:v>
                </c:pt>
                <c:pt idx="24">
                  <c:v>557.50460662008061</c:v>
                </c:pt>
                <c:pt idx="25">
                  <c:v>561.40487958926167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373.82851432693712</c:v>
                </c:pt>
                <c:pt idx="1">
                  <c:v>474.94822882153028</c:v>
                </c:pt>
                <c:pt idx="2">
                  <c:v>475.20536509795244</c:v>
                </c:pt>
                <c:pt idx="3">
                  <c:v>470.76042378672764</c:v>
                </c:pt>
                <c:pt idx="4">
                  <c:v>482.03043540624344</c:v>
                </c:pt>
                <c:pt idx="5">
                  <c:v>493.00201988165986</c:v>
                </c:pt>
                <c:pt idx="6">
                  <c:v>507.83565892658743</c:v>
                </c:pt>
                <c:pt idx="7">
                  <c:v>509.1162886777438</c:v>
                </c:pt>
                <c:pt idx="8">
                  <c:v>552.21677460044202</c:v>
                </c:pt>
                <c:pt idx="9">
                  <c:v>555.82389825767791</c:v>
                </c:pt>
                <c:pt idx="10">
                  <c:v>568.76339753397008</c:v>
                </c:pt>
                <c:pt idx="11">
                  <c:v>552.36972688474157</c:v>
                </c:pt>
                <c:pt idx="12">
                  <c:v>557.90055166491732</c:v>
                </c:pt>
                <c:pt idx="13">
                  <c:v>564.33842993762187</c:v>
                </c:pt>
                <c:pt idx="14">
                  <c:v>571.34108885768467</c:v>
                </c:pt>
                <c:pt idx="15">
                  <c:v>577.22636351327287</c:v>
                </c:pt>
                <c:pt idx="16">
                  <c:v>582.66463906665069</c:v>
                </c:pt>
                <c:pt idx="17">
                  <c:v>587.92943335906057</c:v>
                </c:pt>
                <c:pt idx="18">
                  <c:v>593.1206830947051</c:v>
                </c:pt>
                <c:pt idx="19">
                  <c:v>598.38485769251622</c:v>
                </c:pt>
                <c:pt idx="20">
                  <c:v>603.9225152822213</c:v>
                </c:pt>
                <c:pt idx="21">
                  <c:v>609.49588866345209</c:v>
                </c:pt>
                <c:pt idx="22">
                  <c:v>615.06035674591385</c:v>
                </c:pt>
                <c:pt idx="23">
                  <c:v>620.64370520052159</c:v>
                </c:pt>
                <c:pt idx="24">
                  <c:v>626.30002642085765</c:v>
                </c:pt>
                <c:pt idx="25">
                  <c:v>632.02415358167207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277.50432583413362</c:v>
                </c:pt>
                <c:pt idx="1">
                  <c:v>317.6441821017541</c:v>
                </c:pt>
                <c:pt idx="2">
                  <c:v>314.7992267457455</c:v>
                </c:pt>
                <c:pt idx="3">
                  <c:v>286.95905987820311</c:v>
                </c:pt>
                <c:pt idx="4">
                  <c:v>292.01944096160975</c:v>
                </c:pt>
                <c:pt idx="5">
                  <c:v>294.53338224612929</c:v>
                </c:pt>
                <c:pt idx="6">
                  <c:v>318.80828236113587</c:v>
                </c:pt>
                <c:pt idx="7">
                  <c:v>305.02037147142818</c:v>
                </c:pt>
                <c:pt idx="8">
                  <c:v>303.01112175323885</c:v>
                </c:pt>
                <c:pt idx="9">
                  <c:v>302.83777946632188</c:v>
                </c:pt>
                <c:pt idx="10">
                  <c:v>321.69473826189443</c:v>
                </c:pt>
                <c:pt idx="11">
                  <c:v>358.43434871426439</c:v>
                </c:pt>
                <c:pt idx="12">
                  <c:v>364.53734524019086</c:v>
                </c:pt>
                <c:pt idx="13">
                  <c:v>371.0584266620188</c:v>
                </c:pt>
                <c:pt idx="14">
                  <c:v>377.94527918483203</c:v>
                </c:pt>
                <c:pt idx="15">
                  <c:v>383.8000265113613</c:v>
                </c:pt>
                <c:pt idx="16">
                  <c:v>389.39709673060258</c:v>
                </c:pt>
                <c:pt idx="17">
                  <c:v>394.86712094812532</c:v>
                </c:pt>
                <c:pt idx="18">
                  <c:v>400.36405314119378</c:v>
                </c:pt>
                <c:pt idx="19">
                  <c:v>406.07972670029483</c:v>
                </c:pt>
                <c:pt idx="20">
                  <c:v>411.94177737993783</c:v>
                </c:pt>
                <c:pt idx="21">
                  <c:v>417.84222178231749</c:v>
                </c:pt>
                <c:pt idx="22">
                  <c:v>423.7415917751722</c:v>
                </c:pt>
                <c:pt idx="23">
                  <c:v>429.98261008055442</c:v>
                </c:pt>
                <c:pt idx="24">
                  <c:v>436.02087902169018</c:v>
                </c:pt>
                <c:pt idx="25">
                  <c:v>442.14672512900484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462.54838632371457</c:v>
                </c:pt>
                <c:pt idx="1">
                  <c:v>489.25441131280422</c:v>
                </c:pt>
                <c:pt idx="2">
                  <c:v>535.57604871021852</c:v>
                </c:pt>
                <c:pt idx="3">
                  <c:v>533.88475683416971</c:v>
                </c:pt>
                <c:pt idx="4">
                  <c:v>600.42127395323905</c:v>
                </c:pt>
                <c:pt idx="5">
                  <c:v>627.36985128235654</c:v>
                </c:pt>
                <c:pt idx="6">
                  <c:v>624.96935038546349</c:v>
                </c:pt>
                <c:pt idx="7">
                  <c:v>647.69870772820764</c:v>
                </c:pt>
                <c:pt idx="8">
                  <c:v>652.92825482883848</c:v>
                </c:pt>
                <c:pt idx="9">
                  <c:v>627.37830048121612</c:v>
                </c:pt>
                <c:pt idx="10">
                  <c:v>678.67489071769273</c:v>
                </c:pt>
                <c:pt idx="11">
                  <c:v>641.79585647717829</c:v>
                </c:pt>
                <c:pt idx="12">
                  <c:v>647.92578847913217</c:v>
                </c:pt>
                <c:pt idx="13">
                  <c:v>656.60216935106507</c:v>
                </c:pt>
                <c:pt idx="14">
                  <c:v>666.02858840419606</c:v>
                </c:pt>
                <c:pt idx="15">
                  <c:v>673.70053836370653</c:v>
                </c:pt>
                <c:pt idx="16">
                  <c:v>680.88681901235714</c:v>
                </c:pt>
                <c:pt idx="17">
                  <c:v>687.86404440676438</c:v>
                </c:pt>
                <c:pt idx="18">
                  <c:v>694.76655149018961</c:v>
                </c:pt>
                <c:pt idx="19">
                  <c:v>701.69613460419703</c:v>
                </c:pt>
                <c:pt idx="20">
                  <c:v>708.96072056554499</c:v>
                </c:pt>
                <c:pt idx="21">
                  <c:v>716.19686339961925</c:v>
                </c:pt>
                <c:pt idx="22">
                  <c:v>723.68229880268927</c:v>
                </c:pt>
                <c:pt idx="23">
                  <c:v>731.22370038654265</c:v>
                </c:pt>
                <c:pt idx="24">
                  <c:v>738.97021485146774</c:v>
                </c:pt>
                <c:pt idx="25">
                  <c:v>746.4495820140279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1711.5475637504305</c:v>
                </c:pt>
                <c:pt idx="1">
                  <c:v>1599.9631894222266</c:v>
                </c:pt>
                <c:pt idx="2">
                  <c:v>1679.9833078962524</c:v>
                </c:pt>
                <c:pt idx="3">
                  <c:v>1683.4960935310733</c:v>
                </c:pt>
                <c:pt idx="4">
                  <c:v>1778.3207537165365</c:v>
                </c:pt>
                <c:pt idx="5">
                  <c:v>1794.8908672659011</c:v>
                </c:pt>
                <c:pt idx="6">
                  <c:v>1846.713630252382</c:v>
                </c:pt>
                <c:pt idx="7">
                  <c:v>1879.0825903185857</c:v>
                </c:pt>
                <c:pt idx="8">
                  <c:v>1878.0823688388543</c:v>
                </c:pt>
                <c:pt idx="9">
                  <c:v>1934.4233181110706</c:v>
                </c:pt>
                <c:pt idx="10">
                  <c:v>1991.4785005112092</c:v>
                </c:pt>
                <c:pt idx="11">
                  <c:v>1877.0011931200886</c:v>
                </c:pt>
                <c:pt idx="12">
                  <c:v>1887.591687110224</c:v>
                </c:pt>
                <c:pt idx="13">
                  <c:v>1901.1277152708337</c:v>
                </c:pt>
                <c:pt idx="14">
                  <c:v>1915.8217227274306</c:v>
                </c:pt>
                <c:pt idx="15">
                  <c:v>1926.1668320533122</c:v>
                </c:pt>
                <c:pt idx="16">
                  <c:v>1935.2030160629238</c:v>
                </c:pt>
                <c:pt idx="17">
                  <c:v>1943.4436235451601</c:v>
                </c:pt>
                <c:pt idx="18">
                  <c:v>1951.6544634421264</c:v>
                </c:pt>
                <c:pt idx="19">
                  <c:v>1959.757762058643</c:v>
                </c:pt>
                <c:pt idx="20">
                  <c:v>1968.5307644363734</c:v>
                </c:pt>
                <c:pt idx="21">
                  <c:v>1977.0547174314624</c:v>
                </c:pt>
                <c:pt idx="22">
                  <c:v>1985.7281155330343</c:v>
                </c:pt>
                <c:pt idx="23">
                  <c:v>1994.4262871698188</c:v>
                </c:pt>
                <c:pt idx="24">
                  <c:v>2003.174674649661</c:v>
                </c:pt>
                <c:pt idx="25">
                  <c:v>2011.855838852345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2338.685856109973</c:v>
                </c:pt>
                <c:pt idx="1">
                  <c:v>2357.1875636041091</c:v>
                </c:pt>
                <c:pt idx="2">
                  <c:v>2409.7689721780303</c:v>
                </c:pt>
                <c:pt idx="3">
                  <c:v>2342.5686313577344</c:v>
                </c:pt>
                <c:pt idx="4">
                  <c:v>2431.3491523472653</c:v>
                </c:pt>
                <c:pt idx="5">
                  <c:v>2509.3095493404007</c:v>
                </c:pt>
                <c:pt idx="6">
                  <c:v>2454.3293356461022</c:v>
                </c:pt>
                <c:pt idx="7">
                  <c:v>2532.8963300499017</c:v>
                </c:pt>
                <c:pt idx="8">
                  <c:v>2483.9848850864178</c:v>
                </c:pt>
                <c:pt idx="9">
                  <c:v>2472.5923602894604</c:v>
                </c:pt>
                <c:pt idx="10">
                  <c:v>2574.3940918239059</c:v>
                </c:pt>
                <c:pt idx="11">
                  <c:v>2396.2975608931611</c:v>
                </c:pt>
                <c:pt idx="12">
                  <c:v>2388.5787893377201</c:v>
                </c:pt>
                <c:pt idx="13">
                  <c:v>2384.0679945651486</c:v>
                </c:pt>
                <c:pt idx="14">
                  <c:v>2381.0532695616844</c:v>
                </c:pt>
                <c:pt idx="15">
                  <c:v>2372.2937772534642</c:v>
                </c:pt>
                <c:pt idx="16">
                  <c:v>2361.6437288021471</c:v>
                </c:pt>
                <c:pt idx="17">
                  <c:v>2349.7918018073556</c:v>
                </c:pt>
                <c:pt idx="18">
                  <c:v>2337.7448305586227</c:v>
                </c:pt>
                <c:pt idx="19">
                  <c:v>2325.339376165201</c:v>
                </c:pt>
                <c:pt idx="20">
                  <c:v>2313.4103138731784</c:v>
                </c:pt>
                <c:pt idx="21">
                  <c:v>2300.6572126643096</c:v>
                </c:pt>
                <c:pt idx="22">
                  <c:v>2287.5922519005521</c:v>
                </c:pt>
                <c:pt idx="23">
                  <c:v>2274.1774813912593</c:v>
                </c:pt>
                <c:pt idx="24">
                  <c:v>2260.5043771579735</c:v>
                </c:pt>
                <c:pt idx="25">
                  <c:v>2246.6551666385835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735.01697551531913</c:v>
                </c:pt>
                <c:pt idx="1">
                  <c:v>665.97162621013638</c:v>
                </c:pt>
                <c:pt idx="2">
                  <c:v>655.65170357382328</c:v>
                </c:pt>
                <c:pt idx="3">
                  <c:v>675.65452512983495</c:v>
                </c:pt>
                <c:pt idx="4">
                  <c:v>681.38289474709552</c:v>
                </c:pt>
                <c:pt idx="5">
                  <c:v>640.1842113063916</c:v>
                </c:pt>
                <c:pt idx="6">
                  <c:v>612.49984964715406</c:v>
                </c:pt>
                <c:pt idx="7">
                  <c:v>634.60419697243776</c:v>
                </c:pt>
                <c:pt idx="8">
                  <c:v>643.43542546917195</c:v>
                </c:pt>
                <c:pt idx="9">
                  <c:v>588.31426570119652</c:v>
                </c:pt>
                <c:pt idx="10">
                  <c:v>572.63624585098148</c:v>
                </c:pt>
                <c:pt idx="11">
                  <c:v>636.16796676550723</c:v>
                </c:pt>
                <c:pt idx="12">
                  <c:v>626.0468745461593</c:v>
                </c:pt>
                <c:pt idx="13">
                  <c:v>616.4840759632242</c:v>
                </c:pt>
                <c:pt idx="14">
                  <c:v>607.21030120904925</c:v>
                </c:pt>
                <c:pt idx="15">
                  <c:v>596.67421976235141</c:v>
                </c:pt>
                <c:pt idx="16">
                  <c:v>585.17940391789193</c:v>
                </c:pt>
                <c:pt idx="17">
                  <c:v>573.43745893731125</c:v>
                </c:pt>
                <c:pt idx="18">
                  <c:v>561.74065066870298</c:v>
                </c:pt>
                <c:pt idx="19">
                  <c:v>549.60262764862568</c:v>
                </c:pt>
                <c:pt idx="20">
                  <c:v>536.99474354699566</c:v>
                </c:pt>
                <c:pt idx="21">
                  <c:v>524.66322333634514</c:v>
                </c:pt>
                <c:pt idx="22">
                  <c:v>511.87128996669384</c:v>
                </c:pt>
                <c:pt idx="23">
                  <c:v>499.04218468316543</c:v>
                </c:pt>
                <c:pt idx="24">
                  <c:v>486.02821909465922</c:v>
                </c:pt>
                <c:pt idx="25">
                  <c:v>473.46688944481207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272.36462616285922</c:v>
                </c:pt>
                <c:pt idx="1">
                  <c:v>276.5285613635557</c:v>
                </c:pt>
                <c:pt idx="2">
                  <c:v>289.60161378682659</c:v>
                </c:pt>
                <c:pt idx="3">
                  <c:v>267.76720721228526</c:v>
                </c:pt>
                <c:pt idx="4">
                  <c:v>299.67659857213431</c:v>
                </c:pt>
                <c:pt idx="5">
                  <c:v>298.83864607965563</c:v>
                </c:pt>
                <c:pt idx="6">
                  <c:v>294.20827280605909</c:v>
                </c:pt>
                <c:pt idx="7">
                  <c:v>272.68968976846509</c:v>
                </c:pt>
                <c:pt idx="8">
                  <c:v>277.13467958454407</c:v>
                </c:pt>
                <c:pt idx="9">
                  <c:v>302.26783410806149</c:v>
                </c:pt>
                <c:pt idx="10">
                  <c:v>271.23814466195341</c:v>
                </c:pt>
                <c:pt idx="11">
                  <c:v>264.23042261180916</c:v>
                </c:pt>
                <c:pt idx="12">
                  <c:v>266.65454931555502</c:v>
                </c:pt>
                <c:pt idx="13">
                  <c:v>270.62247218310847</c:v>
                </c:pt>
                <c:pt idx="14">
                  <c:v>274.83977322347835</c:v>
                </c:pt>
                <c:pt idx="15">
                  <c:v>278.07886381464004</c:v>
                </c:pt>
                <c:pt idx="16">
                  <c:v>281.11018066637075</c:v>
                </c:pt>
                <c:pt idx="17">
                  <c:v>284.01814921341213</c:v>
                </c:pt>
                <c:pt idx="18">
                  <c:v>286.91608387520768</c:v>
                </c:pt>
                <c:pt idx="19">
                  <c:v>289.82164312106738</c:v>
                </c:pt>
                <c:pt idx="20">
                  <c:v>292.92825542455887</c:v>
                </c:pt>
                <c:pt idx="21">
                  <c:v>296.08298433632854</c:v>
                </c:pt>
                <c:pt idx="22">
                  <c:v>299.31098865447552</c:v>
                </c:pt>
                <c:pt idx="23">
                  <c:v>302.60940943747005</c:v>
                </c:pt>
                <c:pt idx="24">
                  <c:v>305.93042392259275</c:v>
                </c:pt>
                <c:pt idx="25">
                  <c:v>309.33559436851789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956.58713840807025</c:v>
                </c:pt>
                <c:pt idx="1">
                  <c:v>987.12234980688072</c:v>
                </c:pt>
                <c:pt idx="2">
                  <c:v>943.79743690778764</c:v>
                </c:pt>
                <c:pt idx="3">
                  <c:v>970.16459034653974</c:v>
                </c:pt>
                <c:pt idx="4">
                  <c:v>1034.798173876</c:v>
                </c:pt>
                <c:pt idx="5">
                  <c:v>1042.1574658136535</c:v>
                </c:pt>
                <c:pt idx="6">
                  <c:v>1033.7295314702703</c:v>
                </c:pt>
                <c:pt idx="7">
                  <c:v>1026.5369998899059</c:v>
                </c:pt>
                <c:pt idx="8">
                  <c:v>1011.5259150308284</c:v>
                </c:pt>
                <c:pt idx="9">
                  <c:v>1064.18444026626</c:v>
                </c:pt>
                <c:pt idx="10">
                  <c:v>926.35566763503004</c:v>
                </c:pt>
                <c:pt idx="11">
                  <c:v>932.54148348447461</c:v>
                </c:pt>
                <c:pt idx="12">
                  <c:v>928.80724047213857</c:v>
                </c:pt>
                <c:pt idx="13">
                  <c:v>927.20064077556367</c:v>
                </c:pt>
                <c:pt idx="14">
                  <c:v>925.787538272093</c:v>
                </c:pt>
                <c:pt idx="15">
                  <c:v>921.75387247782987</c:v>
                </c:pt>
                <c:pt idx="16">
                  <c:v>917.07608290020335</c:v>
                </c:pt>
                <c:pt idx="17">
                  <c:v>911.92197883312781</c:v>
                </c:pt>
                <c:pt idx="18">
                  <c:v>906.82718408143535</c:v>
                </c:pt>
                <c:pt idx="19">
                  <c:v>901.72667303610478</c:v>
                </c:pt>
                <c:pt idx="20">
                  <c:v>897.0096778075133</c:v>
                </c:pt>
                <c:pt idx="21">
                  <c:v>892.17944401859984</c:v>
                </c:pt>
                <c:pt idx="22">
                  <c:v>887.36079543970482</c:v>
                </c:pt>
                <c:pt idx="23">
                  <c:v>882.49659516158511</c:v>
                </c:pt>
                <c:pt idx="24">
                  <c:v>877.59949263317958</c:v>
                </c:pt>
                <c:pt idx="25">
                  <c:v>872.67621532730266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938.13188245990659</c:v>
                </c:pt>
                <c:pt idx="1">
                  <c:v>881.51071142575029</c:v>
                </c:pt>
                <c:pt idx="2">
                  <c:v>861.75915400978863</c:v>
                </c:pt>
                <c:pt idx="3">
                  <c:v>879.34579674166184</c:v>
                </c:pt>
                <c:pt idx="4">
                  <c:v>899.71941068058038</c:v>
                </c:pt>
                <c:pt idx="5">
                  <c:v>918.22690874959676</c:v>
                </c:pt>
                <c:pt idx="6">
                  <c:v>891.63828195775443</c:v>
                </c:pt>
                <c:pt idx="7">
                  <c:v>932.75593137018279</c:v>
                </c:pt>
                <c:pt idx="8">
                  <c:v>871.87258966697107</c:v>
                </c:pt>
                <c:pt idx="9">
                  <c:v>907.39739905518638</c:v>
                </c:pt>
                <c:pt idx="10">
                  <c:v>767.57313691964396</c:v>
                </c:pt>
                <c:pt idx="11">
                  <c:v>817.2582456723004</c:v>
                </c:pt>
                <c:pt idx="12">
                  <c:v>813.44211847987526</c:v>
                </c:pt>
                <c:pt idx="13">
                  <c:v>813.11317930017833</c:v>
                </c:pt>
                <c:pt idx="14">
                  <c:v>812.66788809311947</c:v>
                </c:pt>
                <c:pt idx="15">
                  <c:v>809.08762001601656</c:v>
                </c:pt>
                <c:pt idx="16">
                  <c:v>804.95602340798223</c:v>
                </c:pt>
                <c:pt idx="17">
                  <c:v>800.44524453254905</c:v>
                </c:pt>
                <c:pt idx="18">
                  <c:v>795.85764483455057</c:v>
                </c:pt>
                <c:pt idx="19">
                  <c:v>791.11187943714367</c:v>
                </c:pt>
                <c:pt idx="20">
                  <c:v>786.63704615107542</c:v>
                </c:pt>
                <c:pt idx="21">
                  <c:v>782.05331087841307</c:v>
                </c:pt>
                <c:pt idx="22">
                  <c:v>777.43396039527397</c:v>
                </c:pt>
                <c:pt idx="23">
                  <c:v>772.78850862946967</c:v>
                </c:pt>
                <c:pt idx="24">
                  <c:v>768.04829713763695</c:v>
                </c:pt>
                <c:pt idx="25">
                  <c:v>763.22944153326262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550.10112544708079</c:v>
                </c:pt>
                <c:pt idx="1">
                  <c:v>551.16236143334606</c:v>
                </c:pt>
                <c:pt idx="2">
                  <c:v>590.73606454154992</c:v>
                </c:pt>
                <c:pt idx="3">
                  <c:v>584.41007422480027</c:v>
                </c:pt>
                <c:pt idx="4">
                  <c:v>615.09262623254176</c:v>
                </c:pt>
                <c:pt idx="5">
                  <c:v>630.46793566083784</c:v>
                </c:pt>
                <c:pt idx="6">
                  <c:v>624.33879163878987</c:v>
                </c:pt>
                <c:pt idx="7">
                  <c:v>635.99587732803877</c:v>
                </c:pt>
                <c:pt idx="8">
                  <c:v>605.5907117929803</c:v>
                </c:pt>
                <c:pt idx="9">
                  <c:v>576.92178100426145</c:v>
                </c:pt>
                <c:pt idx="10">
                  <c:v>545.11129837873182</c:v>
                </c:pt>
                <c:pt idx="11">
                  <c:v>539.4190804600255</c:v>
                </c:pt>
                <c:pt idx="12">
                  <c:v>540.3442399850012</c:v>
                </c:pt>
                <c:pt idx="13">
                  <c:v>542.3213423024938</c:v>
                </c:pt>
                <c:pt idx="14">
                  <c:v>544.45938233403172</c:v>
                </c:pt>
                <c:pt idx="15">
                  <c:v>545.31726105873133</c:v>
                </c:pt>
                <c:pt idx="16">
                  <c:v>546.00737292067163</c:v>
                </c:pt>
                <c:pt idx="17">
                  <c:v>546.51006768344291</c:v>
                </c:pt>
                <c:pt idx="18">
                  <c:v>546.87552348920565</c:v>
                </c:pt>
                <c:pt idx="19">
                  <c:v>547.25260622093674</c:v>
                </c:pt>
                <c:pt idx="20">
                  <c:v>547.7955785585475</c:v>
                </c:pt>
                <c:pt idx="21">
                  <c:v>548.19350042691212</c:v>
                </c:pt>
                <c:pt idx="22">
                  <c:v>548.43807447604388</c:v>
                </c:pt>
                <c:pt idx="23">
                  <c:v>548.65456229414656</c:v>
                </c:pt>
                <c:pt idx="24">
                  <c:v>548.76302584778841</c:v>
                </c:pt>
                <c:pt idx="25">
                  <c:v>548.89697532090725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1904.2055424187272</c:v>
                </c:pt>
                <c:pt idx="1">
                  <c:v>1804.4425698953073</c:v>
                </c:pt>
                <c:pt idx="2">
                  <c:v>1834.2324888785818</c:v>
                </c:pt>
                <c:pt idx="3">
                  <c:v>1890.2371092384915</c:v>
                </c:pt>
                <c:pt idx="4">
                  <c:v>1987.5054156630765</c:v>
                </c:pt>
                <c:pt idx="5">
                  <c:v>2030.2468142039761</c:v>
                </c:pt>
                <c:pt idx="6">
                  <c:v>2102.9162908031194</c:v>
                </c:pt>
                <c:pt idx="7">
                  <c:v>2099.156643062709</c:v>
                </c:pt>
                <c:pt idx="8">
                  <c:v>2050.2313139141224</c:v>
                </c:pt>
                <c:pt idx="9">
                  <c:v>2089.805287791341</c:v>
                </c:pt>
                <c:pt idx="10">
                  <c:v>2025.984443266439</c:v>
                </c:pt>
                <c:pt idx="11">
                  <c:v>2111.4736004985243</c:v>
                </c:pt>
                <c:pt idx="12">
                  <c:v>2132.4413952200102</c:v>
                </c:pt>
                <c:pt idx="13">
                  <c:v>2156.6640902239819</c:v>
                </c:pt>
                <c:pt idx="14">
                  <c:v>2183.0215809827846</c:v>
                </c:pt>
                <c:pt idx="15">
                  <c:v>2205.3352260260999</c:v>
                </c:pt>
                <c:pt idx="16">
                  <c:v>2226.0231841089694</c:v>
                </c:pt>
                <c:pt idx="17">
                  <c:v>2245.9805606259843</c:v>
                </c:pt>
                <c:pt idx="18">
                  <c:v>2265.8537435172329</c:v>
                </c:pt>
                <c:pt idx="19">
                  <c:v>2285.9369966688628</c:v>
                </c:pt>
                <c:pt idx="20">
                  <c:v>2306.9053203301892</c:v>
                </c:pt>
                <c:pt idx="21">
                  <c:v>2327.983183006032</c:v>
                </c:pt>
                <c:pt idx="22">
                  <c:v>2349.2602366841998</c:v>
                </c:pt>
                <c:pt idx="23">
                  <c:v>2370.8159936110292</c:v>
                </c:pt>
                <c:pt idx="24">
                  <c:v>2392.4794974979627</c:v>
                </c:pt>
                <c:pt idx="25">
                  <c:v>2414.2517515389786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561.35180187808783</c:v>
                </c:pt>
                <c:pt idx="1">
                  <c:v>599.7498772823476</c:v>
                </c:pt>
                <c:pt idx="2">
                  <c:v>594.40068781224954</c:v>
                </c:pt>
                <c:pt idx="3">
                  <c:v>601.9024709841409</c:v>
                </c:pt>
                <c:pt idx="4">
                  <c:v>612.88392643500515</c:v>
                </c:pt>
                <c:pt idx="5">
                  <c:v>627.38990653790802</c:v>
                </c:pt>
                <c:pt idx="6">
                  <c:v>638.32170595881109</c:v>
                </c:pt>
                <c:pt idx="7">
                  <c:v>639.25063523252959</c:v>
                </c:pt>
                <c:pt idx="8">
                  <c:v>628.01382463755147</c:v>
                </c:pt>
                <c:pt idx="9">
                  <c:v>680.2954268390763</c:v>
                </c:pt>
                <c:pt idx="10">
                  <c:v>625.46697377789098</c:v>
                </c:pt>
                <c:pt idx="11">
                  <c:v>625.08347567615408</c:v>
                </c:pt>
                <c:pt idx="12">
                  <c:v>627.42057160715808</c:v>
                </c:pt>
                <c:pt idx="13">
                  <c:v>631.29830230207779</c:v>
                </c:pt>
                <c:pt idx="14">
                  <c:v>635.75554223644747</c:v>
                </c:pt>
                <c:pt idx="15">
                  <c:v>638.83622897159728</c:v>
                </c:pt>
                <c:pt idx="16">
                  <c:v>641.4090948009341</c:v>
                </c:pt>
                <c:pt idx="17">
                  <c:v>643.74571901760908</c:v>
                </c:pt>
                <c:pt idx="18">
                  <c:v>646.04916251570603</c:v>
                </c:pt>
                <c:pt idx="19">
                  <c:v>648.27988661162306</c:v>
                </c:pt>
                <c:pt idx="20">
                  <c:v>650.63429472313965</c:v>
                </c:pt>
                <c:pt idx="21">
                  <c:v>652.85502300064377</c:v>
                </c:pt>
                <c:pt idx="22">
                  <c:v>655.11240806758326</c:v>
                </c:pt>
                <c:pt idx="23">
                  <c:v>657.45020634453886</c:v>
                </c:pt>
                <c:pt idx="24">
                  <c:v>659.74837747136155</c:v>
                </c:pt>
                <c:pt idx="25">
                  <c:v>662.04991372339862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42.435844403039255</c:v>
                </c:pt>
                <c:pt idx="1">
                  <c:v>30.180132931459131</c:v>
                </c:pt>
                <c:pt idx="2">
                  <c:v>29.557112738215093</c:v>
                </c:pt>
                <c:pt idx="3">
                  <c:v>26.657424432337411</c:v>
                </c:pt>
                <c:pt idx="4">
                  <c:v>30.675674709010476</c:v>
                </c:pt>
                <c:pt idx="5">
                  <c:v>28.840224624383744</c:v>
                </c:pt>
                <c:pt idx="6">
                  <c:v>24.729309173337757</c:v>
                </c:pt>
                <c:pt idx="7">
                  <c:v>26.313503081118629</c:v>
                </c:pt>
                <c:pt idx="8">
                  <c:v>26.996635602105446</c:v>
                </c:pt>
                <c:pt idx="9">
                  <c:v>24.87542038018313</c:v>
                </c:pt>
                <c:pt idx="10">
                  <c:v>31.742463409059319</c:v>
                </c:pt>
                <c:pt idx="11">
                  <c:v>24.685416714074432</c:v>
                </c:pt>
                <c:pt idx="12">
                  <c:v>24.947307027622283</c:v>
                </c:pt>
                <c:pt idx="13">
                  <c:v>25.232837373092774</c:v>
                </c:pt>
                <c:pt idx="14">
                  <c:v>25.535270563579992</c:v>
                </c:pt>
                <c:pt idx="15">
                  <c:v>25.76945966743477</c:v>
                </c:pt>
                <c:pt idx="16">
                  <c:v>25.97862969038092</c:v>
                </c:pt>
                <c:pt idx="17">
                  <c:v>26.174907142264235</c:v>
                </c:pt>
                <c:pt idx="18">
                  <c:v>26.370214391196807</c:v>
                </c:pt>
                <c:pt idx="19">
                  <c:v>26.575429654458961</c:v>
                </c:pt>
                <c:pt idx="20">
                  <c:v>26.785450007600087</c:v>
                </c:pt>
                <c:pt idx="21">
                  <c:v>26.992820052721992</c:v>
                </c:pt>
                <c:pt idx="22">
                  <c:v>27.195541108401549</c:v>
                </c:pt>
                <c:pt idx="23">
                  <c:v>27.410399039900046</c:v>
                </c:pt>
                <c:pt idx="24">
                  <c:v>27.61311192759182</c:v>
                </c:pt>
                <c:pt idx="25">
                  <c:v>27.819487466245615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1811.7334076736115</c:v>
                </c:pt>
                <c:pt idx="1">
                  <c:v>1929.0111507508202</c:v>
                </c:pt>
                <c:pt idx="2">
                  <c:v>2012.886983707881</c:v>
                </c:pt>
                <c:pt idx="3">
                  <c:v>1957.0819400606053</c:v>
                </c:pt>
                <c:pt idx="4">
                  <c:v>2012.0162908426332</c:v>
                </c:pt>
                <c:pt idx="5">
                  <c:v>1992.1189392123579</c:v>
                </c:pt>
                <c:pt idx="6">
                  <c:v>2033.2024098330298</c:v>
                </c:pt>
                <c:pt idx="7">
                  <c:v>1967.2831418134047</c:v>
                </c:pt>
                <c:pt idx="8">
                  <c:v>1923.3853865815613</c:v>
                </c:pt>
                <c:pt idx="9">
                  <c:v>1892.2329930164867</c:v>
                </c:pt>
                <c:pt idx="10">
                  <c:v>1852.3067229280093</c:v>
                </c:pt>
                <c:pt idx="11">
                  <c:v>1735.5527930151743</c:v>
                </c:pt>
                <c:pt idx="12">
                  <c:v>1730.306023858936</c:v>
                </c:pt>
                <c:pt idx="13">
                  <c:v>1728.2442674555045</c:v>
                </c:pt>
                <c:pt idx="14">
                  <c:v>1727.3488443136046</c:v>
                </c:pt>
                <c:pt idx="15">
                  <c:v>1722.4810841858018</c:v>
                </c:pt>
                <c:pt idx="16">
                  <c:v>1715.8528951582757</c:v>
                </c:pt>
                <c:pt idx="17">
                  <c:v>1708.3385275221654</c:v>
                </c:pt>
                <c:pt idx="18">
                  <c:v>1700.35223515653</c:v>
                </c:pt>
                <c:pt idx="19">
                  <c:v>1692.0735509763681</c:v>
                </c:pt>
                <c:pt idx="20">
                  <c:v>1683.6781205292818</c:v>
                </c:pt>
                <c:pt idx="21">
                  <c:v>1675.0356624122787</c:v>
                </c:pt>
                <c:pt idx="22">
                  <c:v>1666.283799945772</c:v>
                </c:pt>
                <c:pt idx="23">
                  <c:v>1657.3678804975743</c:v>
                </c:pt>
                <c:pt idx="24">
                  <c:v>1648.1566432396985</c:v>
                </c:pt>
                <c:pt idx="25">
                  <c:v>1638.8493200669641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417.76103765920965</c:v>
                </c:pt>
                <c:pt idx="1">
                  <c:v>416.71650198633341</c:v>
                </c:pt>
                <c:pt idx="2">
                  <c:v>425.89777392949043</c:v>
                </c:pt>
                <c:pt idx="3">
                  <c:v>425.6479281060731</c:v>
                </c:pt>
                <c:pt idx="4">
                  <c:v>415.56102687819202</c:v>
                </c:pt>
                <c:pt idx="5">
                  <c:v>459.59571905867102</c:v>
                </c:pt>
                <c:pt idx="6">
                  <c:v>450.60654170430502</c:v>
                </c:pt>
                <c:pt idx="7">
                  <c:v>491.61517938033342</c:v>
                </c:pt>
                <c:pt idx="8">
                  <c:v>505.11874571312268</c:v>
                </c:pt>
                <c:pt idx="9">
                  <c:v>498.82909103944002</c:v>
                </c:pt>
                <c:pt idx="10">
                  <c:v>510.02655870683429</c:v>
                </c:pt>
                <c:pt idx="11">
                  <c:v>615.58087575155889</c:v>
                </c:pt>
                <c:pt idx="12">
                  <c:v>625.1597766658341</c:v>
                </c:pt>
                <c:pt idx="13">
                  <c:v>635.76268614150513</c:v>
                </c:pt>
                <c:pt idx="14">
                  <c:v>646.89166096282418</c:v>
                </c:pt>
                <c:pt idx="15">
                  <c:v>656.65877897986149</c:v>
                </c:pt>
                <c:pt idx="16">
                  <c:v>665.96780163686697</c:v>
                </c:pt>
                <c:pt idx="17">
                  <c:v>675.01423894369987</c:v>
                </c:pt>
                <c:pt idx="18">
                  <c:v>684.08533511287033</c:v>
                </c:pt>
                <c:pt idx="19">
                  <c:v>693.18576216979534</c:v>
                </c:pt>
                <c:pt idx="20">
                  <c:v>702.58215033924057</c:v>
                </c:pt>
                <c:pt idx="21">
                  <c:v>711.94319074194937</c:v>
                </c:pt>
                <c:pt idx="22">
                  <c:v>721.35975674831218</c:v>
                </c:pt>
                <c:pt idx="23">
                  <c:v>730.83803934642856</c:v>
                </c:pt>
                <c:pt idx="24">
                  <c:v>740.38707460491719</c:v>
                </c:pt>
                <c:pt idx="25">
                  <c:v>749.94596673149408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687.57735464066286</c:v>
                </c:pt>
                <c:pt idx="1">
                  <c:v>647.84910362587334</c:v>
                </c:pt>
                <c:pt idx="2">
                  <c:v>662.7359427825661</c:v>
                </c:pt>
                <c:pt idx="3">
                  <c:v>686.75097867425961</c:v>
                </c:pt>
                <c:pt idx="4">
                  <c:v>702.08993742514451</c:v>
                </c:pt>
                <c:pt idx="5">
                  <c:v>713.31333030825101</c:v>
                </c:pt>
                <c:pt idx="6">
                  <c:v>706.65120621801759</c:v>
                </c:pt>
                <c:pt idx="7">
                  <c:v>730.50376714971117</c:v>
                </c:pt>
                <c:pt idx="8">
                  <c:v>733.80339743221259</c:v>
                </c:pt>
                <c:pt idx="9">
                  <c:v>691.72064265695496</c:v>
                </c:pt>
                <c:pt idx="10">
                  <c:v>607.28189366049708</c:v>
                </c:pt>
                <c:pt idx="11">
                  <c:v>731.21773432809562</c:v>
                </c:pt>
                <c:pt idx="12">
                  <c:v>730.0422468215894</c:v>
                </c:pt>
                <c:pt idx="13">
                  <c:v>730.83019329926606</c:v>
                </c:pt>
                <c:pt idx="14">
                  <c:v>731.74659927948164</c:v>
                </c:pt>
                <c:pt idx="15">
                  <c:v>731.01802160684156</c:v>
                </c:pt>
                <c:pt idx="16">
                  <c:v>729.82062226626306</c:v>
                </c:pt>
                <c:pt idx="17">
                  <c:v>728.18562169268421</c:v>
                </c:pt>
                <c:pt idx="18">
                  <c:v>726.50963452464123</c:v>
                </c:pt>
                <c:pt idx="19">
                  <c:v>724.83299807428443</c:v>
                </c:pt>
                <c:pt idx="20">
                  <c:v>723.44087810676092</c:v>
                </c:pt>
                <c:pt idx="21">
                  <c:v>722.03902356162314</c:v>
                </c:pt>
                <c:pt idx="22">
                  <c:v>720.60528344509169</c:v>
                </c:pt>
                <c:pt idx="23">
                  <c:v>719.23814091848169</c:v>
                </c:pt>
                <c:pt idx="24">
                  <c:v>717.7768351393712</c:v>
                </c:pt>
                <c:pt idx="25">
                  <c:v>716.39137017341181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1014.0471339977664</c:v>
                </c:pt>
                <c:pt idx="1">
                  <c:v>1018.1121575567976</c:v>
                </c:pt>
                <c:pt idx="2">
                  <c:v>1001.8646576830585</c:v>
                </c:pt>
                <c:pt idx="3">
                  <c:v>991.96187235899379</c:v>
                </c:pt>
                <c:pt idx="4">
                  <c:v>1047.7487184942693</c:v>
                </c:pt>
                <c:pt idx="5">
                  <c:v>1054.0123740558722</c:v>
                </c:pt>
                <c:pt idx="6">
                  <c:v>1143.0259869212878</c:v>
                </c:pt>
                <c:pt idx="7">
                  <c:v>1131.6816495319533</c:v>
                </c:pt>
                <c:pt idx="8">
                  <c:v>1165.2496145617927</c:v>
                </c:pt>
                <c:pt idx="9">
                  <c:v>1178.8274412312694</c:v>
                </c:pt>
                <c:pt idx="10">
                  <c:v>1054.8556506340044</c:v>
                </c:pt>
                <c:pt idx="11">
                  <c:v>1127.4494033536632</c:v>
                </c:pt>
                <c:pt idx="12">
                  <c:v>1128.3716805081472</c:v>
                </c:pt>
                <c:pt idx="13">
                  <c:v>1131.9890641995996</c:v>
                </c:pt>
                <c:pt idx="14">
                  <c:v>1136.004923990369</c:v>
                </c:pt>
                <c:pt idx="15">
                  <c:v>1136.9139474279507</c:v>
                </c:pt>
                <c:pt idx="16">
                  <c:v>1137.0329518739081</c:v>
                </c:pt>
                <c:pt idx="17">
                  <c:v>1136.6680332426045</c:v>
                </c:pt>
                <c:pt idx="18">
                  <c:v>1136.3372935632769</c:v>
                </c:pt>
                <c:pt idx="19">
                  <c:v>1135.9517121142151</c:v>
                </c:pt>
                <c:pt idx="20">
                  <c:v>1136.0402709231296</c:v>
                </c:pt>
                <c:pt idx="21">
                  <c:v>1135.9775070496726</c:v>
                </c:pt>
                <c:pt idx="22">
                  <c:v>1135.9264468307392</c:v>
                </c:pt>
                <c:pt idx="23">
                  <c:v>1135.8941773585291</c:v>
                </c:pt>
                <c:pt idx="24">
                  <c:v>1135.8040657552874</c:v>
                </c:pt>
                <c:pt idx="25">
                  <c:v>1135.6959002790093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433.08814299068553</c:v>
                </c:pt>
                <c:pt idx="1">
                  <c:v>426.75692509460328</c:v>
                </c:pt>
                <c:pt idx="2">
                  <c:v>427.25145870321722</c:v>
                </c:pt>
                <c:pt idx="3">
                  <c:v>420.71585122052545</c:v>
                </c:pt>
                <c:pt idx="4">
                  <c:v>461.57597123834557</c:v>
                </c:pt>
                <c:pt idx="5">
                  <c:v>475.90883310534315</c:v>
                </c:pt>
                <c:pt idx="6">
                  <c:v>481.98011948616465</c:v>
                </c:pt>
                <c:pt idx="7">
                  <c:v>446.99517246249388</c:v>
                </c:pt>
                <c:pt idx="8">
                  <c:v>447.24278291212977</c:v>
                </c:pt>
                <c:pt idx="9">
                  <c:v>428.55047108245543</c:v>
                </c:pt>
                <c:pt idx="10">
                  <c:v>381.35221201872946</c:v>
                </c:pt>
                <c:pt idx="11">
                  <c:v>325.11864445354047</c:v>
                </c:pt>
                <c:pt idx="12">
                  <c:v>323.69965523370405</c:v>
                </c:pt>
                <c:pt idx="13">
                  <c:v>323.17459602386418</c:v>
                </c:pt>
                <c:pt idx="14">
                  <c:v>322.73306693477019</c:v>
                </c:pt>
                <c:pt idx="15">
                  <c:v>321.40447089613929</c:v>
                </c:pt>
                <c:pt idx="16">
                  <c:v>319.89332380136233</c:v>
                </c:pt>
                <c:pt idx="17">
                  <c:v>318.24745639774028</c:v>
                </c:pt>
                <c:pt idx="18">
                  <c:v>316.6200065017307</c:v>
                </c:pt>
                <c:pt idx="19">
                  <c:v>314.99059798872224</c:v>
                </c:pt>
                <c:pt idx="20">
                  <c:v>313.48665999382945</c:v>
                </c:pt>
                <c:pt idx="21">
                  <c:v>311.87461069408744</c:v>
                </c:pt>
                <c:pt idx="22">
                  <c:v>310.23108501224868</c:v>
                </c:pt>
                <c:pt idx="23">
                  <c:v>308.57062267926807</c:v>
                </c:pt>
                <c:pt idx="24">
                  <c:v>306.8916733393736</c:v>
                </c:pt>
                <c:pt idx="25">
                  <c:v>305.22320056621066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2741.6934385269506</c:v>
                </c:pt>
                <c:pt idx="1">
                  <c:v>2648.1576618181166</c:v>
                </c:pt>
                <c:pt idx="2">
                  <c:v>2658.407694836646</c:v>
                </c:pt>
                <c:pt idx="3">
                  <c:v>2676.6997106381436</c:v>
                </c:pt>
                <c:pt idx="4">
                  <c:v>2786.2756885537033</c:v>
                </c:pt>
                <c:pt idx="5">
                  <c:v>2826.2835298888986</c:v>
                </c:pt>
                <c:pt idx="6">
                  <c:v>2821.0260549259115</c:v>
                </c:pt>
                <c:pt idx="7">
                  <c:v>2818.6955325684721</c:v>
                </c:pt>
                <c:pt idx="8">
                  <c:v>2813.1746041241909</c:v>
                </c:pt>
                <c:pt idx="9">
                  <c:v>2861.6919255116004</c:v>
                </c:pt>
                <c:pt idx="10">
                  <c:v>2620.1587668920147</c:v>
                </c:pt>
                <c:pt idx="11">
                  <c:v>2696.7681910577921</c:v>
                </c:pt>
                <c:pt idx="12">
                  <c:v>2692.0888077475961</c:v>
                </c:pt>
                <c:pt idx="13">
                  <c:v>2692.138555663184</c:v>
                </c:pt>
                <c:pt idx="14">
                  <c:v>2693.4912646983103</c:v>
                </c:pt>
                <c:pt idx="15">
                  <c:v>2688.4065741618947</c:v>
                </c:pt>
                <c:pt idx="16">
                  <c:v>2680.7587927522413</c:v>
                </c:pt>
                <c:pt idx="17">
                  <c:v>2671.6922252130053</c:v>
                </c:pt>
                <c:pt idx="18">
                  <c:v>2662.5892515887745</c:v>
                </c:pt>
                <c:pt idx="19">
                  <c:v>2653.4756426590893</c:v>
                </c:pt>
                <c:pt idx="20">
                  <c:v>2645.3670051349704</c:v>
                </c:pt>
                <c:pt idx="21">
                  <c:v>2636.8342074257257</c:v>
                </c:pt>
                <c:pt idx="22">
                  <c:v>2628.0846445858579</c:v>
                </c:pt>
                <c:pt idx="23">
                  <c:v>2619.4626811779594</c:v>
                </c:pt>
                <c:pt idx="24">
                  <c:v>2610.6999779187427</c:v>
                </c:pt>
                <c:pt idx="25">
                  <c:v>2601.8770524398415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2281.6256986693516</c:v>
                </c:pt>
                <c:pt idx="1">
                  <c:v>2511.4356060613586</c:v>
                </c:pt>
                <c:pt idx="2">
                  <c:v>2613.5748297830778</c:v>
                </c:pt>
                <c:pt idx="3">
                  <c:v>2655.5287653292894</c:v>
                </c:pt>
                <c:pt idx="4">
                  <c:v>2733.1242231780134</c:v>
                </c:pt>
                <c:pt idx="5">
                  <c:v>2822.9549666207236</c:v>
                </c:pt>
                <c:pt idx="6">
                  <c:v>2914.5795581903117</c:v>
                </c:pt>
                <c:pt idx="7">
                  <c:v>3047.9899760189528</c:v>
                </c:pt>
                <c:pt idx="8">
                  <c:v>3094.9678905284404</c:v>
                </c:pt>
                <c:pt idx="9">
                  <c:v>3241.7877031892972</c:v>
                </c:pt>
                <c:pt idx="10">
                  <c:v>3297.9630650025738</c:v>
                </c:pt>
                <c:pt idx="11">
                  <c:v>3224.310056470465</c:v>
                </c:pt>
                <c:pt idx="12">
                  <c:v>3264.2453234240566</c:v>
                </c:pt>
                <c:pt idx="13">
                  <c:v>3311.2400141145649</c:v>
                </c:pt>
                <c:pt idx="14">
                  <c:v>3360.4046417611389</c:v>
                </c:pt>
                <c:pt idx="15">
                  <c:v>3401.668012903142</c:v>
                </c:pt>
                <c:pt idx="16">
                  <c:v>3440.7589805922908</c:v>
                </c:pt>
                <c:pt idx="17">
                  <c:v>3478.5699662914212</c:v>
                </c:pt>
                <c:pt idx="18">
                  <c:v>3516.5946136316916</c:v>
                </c:pt>
                <c:pt idx="19">
                  <c:v>3554.7829668977906</c:v>
                </c:pt>
                <c:pt idx="20">
                  <c:v>3594.6864670601144</c:v>
                </c:pt>
                <c:pt idx="21">
                  <c:v>3634.5514880106575</c:v>
                </c:pt>
                <c:pt idx="22">
                  <c:v>3674.8566410594412</c:v>
                </c:pt>
                <c:pt idx="23">
                  <c:v>3715.4665454121941</c:v>
                </c:pt>
                <c:pt idx="24">
                  <c:v>3756.2429350006978</c:v>
                </c:pt>
                <c:pt idx="25">
                  <c:v>3797.1617057796548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5491.9730778200928</c:v>
                </c:pt>
                <c:pt idx="1">
                  <c:v>5402.9298330231813</c:v>
                </c:pt>
                <c:pt idx="2">
                  <c:v>5509.9312605354189</c:v>
                </c:pt>
                <c:pt idx="3">
                  <c:v>5652.3270731849989</c:v>
                </c:pt>
                <c:pt idx="4">
                  <c:v>5862.1569214731471</c:v>
                </c:pt>
                <c:pt idx="5">
                  <c:v>5913.2437820431551</c:v>
                </c:pt>
                <c:pt idx="6">
                  <c:v>6251.9687149225729</c:v>
                </c:pt>
                <c:pt idx="7">
                  <c:v>6240.211792171287</c:v>
                </c:pt>
                <c:pt idx="8">
                  <c:v>6468.2700325882961</c:v>
                </c:pt>
                <c:pt idx="9">
                  <c:v>6746.1756140652815</c:v>
                </c:pt>
                <c:pt idx="10">
                  <c:v>7042.9080467763579</c:v>
                </c:pt>
                <c:pt idx="11">
                  <c:v>7262.1326299583279</c:v>
                </c:pt>
                <c:pt idx="12">
                  <c:v>7338.5333255671703</c:v>
                </c:pt>
                <c:pt idx="13">
                  <c:v>7433.0828564561989</c:v>
                </c:pt>
                <c:pt idx="14">
                  <c:v>7533.4177266732158</c:v>
                </c:pt>
                <c:pt idx="15">
                  <c:v>7617.8402642532928</c:v>
                </c:pt>
                <c:pt idx="16">
                  <c:v>7697.5012435314075</c:v>
                </c:pt>
                <c:pt idx="17">
                  <c:v>7774.5333902288385</c:v>
                </c:pt>
                <c:pt idx="18">
                  <c:v>7851.6227832684635</c:v>
                </c:pt>
                <c:pt idx="19">
                  <c:v>7928.5151478056887</c:v>
                </c:pt>
                <c:pt idx="20">
                  <c:v>8008.5796842314548</c:v>
                </c:pt>
                <c:pt idx="21">
                  <c:v>8088.2939954119211</c:v>
                </c:pt>
                <c:pt idx="22">
                  <c:v>8168.6331211718207</c:v>
                </c:pt>
                <c:pt idx="23">
                  <c:v>8249.8073659829115</c:v>
                </c:pt>
                <c:pt idx="24">
                  <c:v>8331.1525707584042</c:v>
                </c:pt>
                <c:pt idx="25">
                  <c:v>8412.6838694340058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3292.8809152178014</c:v>
                </c:pt>
                <c:pt idx="1">
                  <c:v>3340.7743061288438</c:v>
                </c:pt>
                <c:pt idx="2">
                  <c:v>3482.3831636120644</c:v>
                </c:pt>
                <c:pt idx="3">
                  <c:v>3461.7090507575394</c:v>
                </c:pt>
                <c:pt idx="4">
                  <c:v>3613.7383486507815</c:v>
                </c:pt>
                <c:pt idx="5">
                  <c:v>3673.0788633877009</c:v>
                </c:pt>
                <c:pt idx="6">
                  <c:v>3791.6380386926935</c:v>
                </c:pt>
                <c:pt idx="7">
                  <c:v>3885.2109821433723</c:v>
                </c:pt>
                <c:pt idx="8">
                  <c:v>3944.0265647693341</c:v>
                </c:pt>
                <c:pt idx="9">
                  <c:v>3966.2899027660596</c:v>
                </c:pt>
                <c:pt idx="10">
                  <c:v>4152.3256176523755</c:v>
                </c:pt>
                <c:pt idx="11">
                  <c:v>3935.831418832071</c:v>
                </c:pt>
                <c:pt idx="12">
                  <c:v>3968.0410741823889</c:v>
                </c:pt>
                <c:pt idx="13">
                  <c:v>4008.1728316571871</c:v>
                </c:pt>
                <c:pt idx="14">
                  <c:v>4051.4327249098806</c:v>
                </c:pt>
                <c:pt idx="15">
                  <c:v>4085.2103165469375</c:v>
                </c:pt>
                <c:pt idx="16">
                  <c:v>4116.2166871819472</c:v>
                </c:pt>
                <c:pt idx="17">
                  <c:v>4145.6386526853184</c:v>
                </c:pt>
                <c:pt idx="18">
                  <c:v>4174.8738087292268</c:v>
                </c:pt>
                <c:pt idx="19">
                  <c:v>4204.3685027614192</c:v>
                </c:pt>
                <c:pt idx="20">
                  <c:v>4235.564083271267</c:v>
                </c:pt>
                <c:pt idx="21">
                  <c:v>4266.5386129818016</c:v>
                </c:pt>
                <c:pt idx="22">
                  <c:v>4297.971674519722</c:v>
                </c:pt>
                <c:pt idx="23">
                  <c:v>4329.8842060471761</c:v>
                </c:pt>
                <c:pt idx="24">
                  <c:v>4361.9704015637572</c:v>
                </c:pt>
                <c:pt idx="25">
                  <c:v>4393.8811791663111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3073.7028316252922</c:v>
                </c:pt>
                <c:pt idx="1">
                  <c:v>3023.1591898142456</c:v>
                </c:pt>
                <c:pt idx="2">
                  <c:v>3065.4206757518537</c:v>
                </c:pt>
                <c:pt idx="3">
                  <c:v>3018.2231564875692</c:v>
                </c:pt>
                <c:pt idx="4">
                  <c:v>3112.732047094361</c:v>
                </c:pt>
                <c:pt idx="5">
                  <c:v>3149.4937606467925</c:v>
                </c:pt>
                <c:pt idx="6">
                  <c:v>3066.8291852932562</c:v>
                </c:pt>
                <c:pt idx="7">
                  <c:v>3167.5005270223396</c:v>
                </c:pt>
                <c:pt idx="8">
                  <c:v>3127.4203105555898</c:v>
                </c:pt>
                <c:pt idx="9">
                  <c:v>3060.9066259906567</c:v>
                </c:pt>
                <c:pt idx="10">
                  <c:v>3147.0303376748875</c:v>
                </c:pt>
                <c:pt idx="11">
                  <c:v>3032.4655276586682</c:v>
                </c:pt>
                <c:pt idx="12">
                  <c:v>3014.6256638838795</c:v>
                </c:pt>
                <c:pt idx="13">
                  <c:v>3000.552070528373</c:v>
                </c:pt>
                <c:pt idx="14">
                  <c:v>2988.2635707707336</c:v>
                </c:pt>
                <c:pt idx="15">
                  <c:v>2968.9679970158159</c:v>
                </c:pt>
                <c:pt idx="16">
                  <c:v>2946.8231327200392</c:v>
                </c:pt>
                <c:pt idx="17">
                  <c:v>2923.229260744667</c:v>
                </c:pt>
                <c:pt idx="18">
                  <c:v>2899.4854812273256</c:v>
                </c:pt>
                <c:pt idx="19">
                  <c:v>2874.9420038138269</c:v>
                </c:pt>
                <c:pt idx="20">
                  <c:v>2850.4050574201742</c:v>
                </c:pt>
                <c:pt idx="21">
                  <c:v>2825.3204360006548</c:v>
                </c:pt>
                <c:pt idx="22">
                  <c:v>2799.463541867246</c:v>
                </c:pt>
                <c:pt idx="23">
                  <c:v>2773.2196660744248</c:v>
                </c:pt>
                <c:pt idx="24">
                  <c:v>2746.5325962526326</c:v>
                </c:pt>
                <c:pt idx="25">
                  <c:v>2720.1220560833954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2717.1847724779168</c:v>
                </c:pt>
                <c:pt idx="1">
                  <c:v>2696.3239840295328</c:v>
                </c:pt>
                <c:pt idx="2">
                  <c:v>2685.8942692459532</c:v>
                </c:pt>
                <c:pt idx="3">
                  <c:v>2701.6876685252873</c:v>
                </c:pt>
                <c:pt idx="4">
                  <c:v>2849.286809361256</c:v>
                </c:pt>
                <c:pt idx="5">
                  <c:v>2889.6909563037434</c:v>
                </c:pt>
                <c:pt idx="6">
                  <c:v>2843.9148778728741</c:v>
                </c:pt>
                <c:pt idx="7">
                  <c:v>2867.9784983565924</c:v>
                </c:pt>
                <c:pt idx="8">
                  <c:v>2766.1238960753235</c:v>
                </c:pt>
                <c:pt idx="9">
                  <c:v>2850.7714544337691</c:v>
                </c:pt>
                <c:pt idx="10">
                  <c:v>2510.2782475953591</c:v>
                </c:pt>
                <c:pt idx="11">
                  <c:v>2553.4492322286096</c:v>
                </c:pt>
                <c:pt idx="12">
                  <c:v>2549.24814825257</c:v>
                </c:pt>
                <c:pt idx="13">
                  <c:v>2553.2576345613443</c:v>
                </c:pt>
                <c:pt idx="14">
                  <c:v>2557.7545819227225</c:v>
                </c:pt>
                <c:pt idx="15">
                  <c:v>2554.2376173672178</c:v>
                </c:pt>
                <c:pt idx="16">
                  <c:v>2549.1496598952281</c:v>
                </c:pt>
                <c:pt idx="17">
                  <c:v>2542.8954402625322</c:v>
                </c:pt>
                <c:pt idx="18">
                  <c:v>2536.476436280399</c:v>
                </c:pt>
                <c:pt idx="19">
                  <c:v>2529.9128018152524</c:v>
                </c:pt>
                <c:pt idx="20">
                  <c:v>2524.3705579416956</c:v>
                </c:pt>
                <c:pt idx="21">
                  <c:v>2518.5092396602536</c:v>
                </c:pt>
                <c:pt idx="22">
                  <c:v>2512.5438189654983</c:v>
                </c:pt>
                <c:pt idx="23">
                  <c:v>2506.5490755226715</c:v>
                </c:pt>
                <c:pt idx="24">
                  <c:v>2500.3412395411979</c:v>
                </c:pt>
                <c:pt idx="25">
                  <c:v>2494.1382265499906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2507.9931886998547</c:v>
                </c:pt>
                <c:pt idx="1">
                  <c:v>2434.3725801091136</c:v>
                </c:pt>
                <c:pt idx="2">
                  <c:v>2458.1902894290465</c:v>
                </c:pt>
                <c:pt idx="3">
                  <c:v>2518.7970046549699</c:v>
                </c:pt>
                <c:pt idx="4">
                  <c:v>2631.065016807092</c:v>
                </c:pt>
                <c:pt idx="5">
                  <c:v>2686.476945366268</c:v>
                </c:pt>
                <c:pt idx="6">
                  <c:v>2765.9673059352681</c:v>
                </c:pt>
                <c:pt idx="7">
                  <c:v>2764.7207813763571</c:v>
                </c:pt>
                <c:pt idx="8">
                  <c:v>2705.2417741537793</c:v>
                </c:pt>
                <c:pt idx="9">
                  <c:v>2794.9761350106005</c:v>
                </c:pt>
                <c:pt idx="10">
                  <c:v>2683.1938804533893</c:v>
                </c:pt>
                <c:pt idx="11">
                  <c:v>2761.2424928887531</c:v>
                </c:pt>
                <c:pt idx="12">
                  <c:v>2784.8092738547907</c:v>
                </c:pt>
                <c:pt idx="13">
                  <c:v>2813.1952298991528</c:v>
                </c:pt>
                <c:pt idx="14">
                  <c:v>2844.3123937828123</c:v>
                </c:pt>
                <c:pt idx="15">
                  <c:v>2869.9409146651319</c:v>
                </c:pt>
                <c:pt idx="16">
                  <c:v>2893.4109086002841</c:v>
                </c:pt>
                <c:pt idx="17">
                  <c:v>2915.9011867858576</c:v>
                </c:pt>
                <c:pt idx="18">
                  <c:v>2938.2731204241359</c:v>
                </c:pt>
                <c:pt idx="19">
                  <c:v>2960.7923129349451</c:v>
                </c:pt>
                <c:pt idx="20">
                  <c:v>2984.3250650609289</c:v>
                </c:pt>
                <c:pt idx="21">
                  <c:v>3007.831026059398</c:v>
                </c:pt>
                <c:pt idx="22">
                  <c:v>3031.5681858601843</c:v>
                </c:pt>
                <c:pt idx="23">
                  <c:v>3055.6765989954679</c:v>
                </c:pt>
                <c:pt idx="24">
                  <c:v>3079.8409868969161</c:v>
                </c:pt>
                <c:pt idx="25">
                  <c:v>3104.1211527286227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2229.4944453328212</c:v>
                </c:pt>
                <c:pt idx="1">
                  <c:v>2345.7276527371537</c:v>
                </c:pt>
                <c:pt idx="2">
                  <c:v>2438.7847576373715</c:v>
                </c:pt>
                <c:pt idx="3">
                  <c:v>2382.7298681666784</c:v>
                </c:pt>
                <c:pt idx="4">
                  <c:v>2427.5773177208252</c:v>
                </c:pt>
                <c:pt idx="5">
                  <c:v>2451.7146582710288</c:v>
                </c:pt>
                <c:pt idx="6">
                  <c:v>2483.8089515373349</c:v>
                </c:pt>
                <c:pt idx="7">
                  <c:v>2458.898321193738</c:v>
                </c:pt>
                <c:pt idx="8">
                  <c:v>2428.504132294684</c:v>
                </c:pt>
                <c:pt idx="9">
                  <c:v>2391.0620840559268</c:v>
                </c:pt>
                <c:pt idx="10">
                  <c:v>2362.3332816348438</c:v>
                </c:pt>
                <c:pt idx="11">
                  <c:v>2351.1336687667331</c:v>
                </c:pt>
                <c:pt idx="12">
                  <c:v>2355.4658005247702</c:v>
                </c:pt>
                <c:pt idx="13">
                  <c:v>2364.0069535970097</c:v>
                </c:pt>
                <c:pt idx="14">
                  <c:v>2374.2405052764288</c:v>
                </c:pt>
                <c:pt idx="15">
                  <c:v>2379.1398631656634</c:v>
                </c:pt>
                <c:pt idx="16">
                  <c:v>2381.8206967951428</c:v>
                </c:pt>
                <c:pt idx="17">
                  <c:v>2383.352766465865</c:v>
                </c:pt>
                <c:pt idx="18">
                  <c:v>2384.4375702694006</c:v>
                </c:pt>
                <c:pt idx="19">
                  <c:v>2385.2593131461635</c:v>
                </c:pt>
                <c:pt idx="20">
                  <c:v>2386.2602708685226</c:v>
                </c:pt>
                <c:pt idx="21">
                  <c:v>2386.9788531542281</c:v>
                </c:pt>
                <c:pt idx="22">
                  <c:v>2387.6435566940841</c:v>
                </c:pt>
                <c:pt idx="23">
                  <c:v>2388.2059198440029</c:v>
                </c:pt>
                <c:pt idx="24">
                  <c:v>2388.5437178446155</c:v>
                </c:pt>
                <c:pt idx="25">
                  <c:v>2388.7952867984582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1701.6244886384293</c:v>
                </c:pt>
                <c:pt idx="1">
                  <c:v>1665.961261182671</c:v>
                </c:pt>
                <c:pt idx="2">
                  <c:v>1664.6006004656247</c:v>
                </c:pt>
                <c:pt idx="3">
                  <c:v>1678.7128510332534</c:v>
                </c:pt>
                <c:pt idx="4">
                  <c:v>1749.8386559194137</c:v>
                </c:pt>
                <c:pt idx="5">
                  <c:v>1767.3257043641233</c:v>
                </c:pt>
                <c:pt idx="6">
                  <c:v>1849.6771931393055</c:v>
                </c:pt>
                <c:pt idx="7">
                  <c:v>1862.1854166816645</c:v>
                </c:pt>
                <c:pt idx="8">
                  <c:v>1899.0530119940054</c:v>
                </c:pt>
                <c:pt idx="9">
                  <c:v>1870.5480838882245</c:v>
                </c:pt>
                <c:pt idx="10">
                  <c:v>1662.1375442945014</c:v>
                </c:pt>
                <c:pt idx="11">
                  <c:v>1858.667137681759</c:v>
                </c:pt>
                <c:pt idx="12">
                  <c:v>1858.4139273297365</c:v>
                </c:pt>
                <c:pt idx="13">
                  <c:v>1862.8192574988657</c:v>
                </c:pt>
                <c:pt idx="14">
                  <c:v>1867.7515232698506</c:v>
                </c:pt>
                <c:pt idx="15">
                  <c:v>1867.9319690347922</c:v>
                </c:pt>
                <c:pt idx="16">
                  <c:v>1866.8535741401711</c:v>
                </c:pt>
                <c:pt idx="17">
                  <c:v>1864.8536549352887</c:v>
                </c:pt>
                <c:pt idx="18">
                  <c:v>1862.8469280879181</c:v>
                </c:pt>
                <c:pt idx="19">
                  <c:v>1860.7847101884995</c:v>
                </c:pt>
                <c:pt idx="20">
                  <c:v>1859.4811490298905</c:v>
                </c:pt>
                <c:pt idx="21">
                  <c:v>1858.0165306112958</c:v>
                </c:pt>
                <c:pt idx="22">
                  <c:v>1856.5317302758308</c:v>
                </c:pt>
                <c:pt idx="23">
                  <c:v>1855.1323182770107</c:v>
                </c:pt>
                <c:pt idx="24">
                  <c:v>1853.5809008946585</c:v>
                </c:pt>
                <c:pt idx="25">
                  <c:v>1852.0872704524211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3174.7815815176359</c:v>
                </c:pt>
                <c:pt idx="1">
                  <c:v>3074.9145869127196</c:v>
                </c:pt>
                <c:pt idx="2">
                  <c:v>3085.6591535398634</c:v>
                </c:pt>
                <c:pt idx="3">
                  <c:v>3097.4155618586692</c:v>
                </c:pt>
                <c:pt idx="4">
                  <c:v>3247.8516597920488</c:v>
                </c:pt>
                <c:pt idx="5">
                  <c:v>3302.1923629942416</c:v>
                </c:pt>
                <c:pt idx="6">
                  <c:v>3303.0061744120762</c:v>
                </c:pt>
                <c:pt idx="7">
                  <c:v>3265.690705030966</c:v>
                </c:pt>
                <c:pt idx="8">
                  <c:v>3260.4173870363206</c:v>
                </c:pt>
                <c:pt idx="9">
                  <c:v>3290.2423965940557</c:v>
                </c:pt>
                <c:pt idx="10">
                  <c:v>3001.5109789107441</c:v>
                </c:pt>
                <c:pt idx="11">
                  <c:v>3021.8868355113327</c:v>
                </c:pt>
                <c:pt idx="12">
                  <c:v>3015.7884629813002</c:v>
                </c:pt>
                <c:pt idx="13">
                  <c:v>3015.313151687048</c:v>
                </c:pt>
                <c:pt idx="14">
                  <c:v>3016.2243316330805</c:v>
                </c:pt>
                <c:pt idx="15">
                  <c:v>3009.8110450580339</c:v>
                </c:pt>
                <c:pt idx="16">
                  <c:v>3000.6521165536037</c:v>
                </c:pt>
                <c:pt idx="17">
                  <c:v>2989.9396816107455</c:v>
                </c:pt>
                <c:pt idx="18">
                  <c:v>2979.209258090505</c:v>
                </c:pt>
                <c:pt idx="19">
                  <c:v>2968.4662406478114</c:v>
                </c:pt>
                <c:pt idx="20">
                  <c:v>2958.8536651288</c:v>
                </c:pt>
                <c:pt idx="21">
                  <c:v>2948.7088181198133</c:v>
                </c:pt>
                <c:pt idx="22">
                  <c:v>2938.3157295981064</c:v>
                </c:pt>
                <c:pt idx="23">
                  <c:v>2928.0333038572276</c:v>
                </c:pt>
                <c:pt idx="24">
                  <c:v>2917.5916512581161</c:v>
                </c:pt>
                <c:pt idx="25">
                  <c:v>2907.1002530060523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2281.6256986693516</c:v>
                </c:pt>
                <c:pt idx="1">
                  <c:v>2511.4356060613586</c:v>
                </c:pt>
                <c:pt idx="2">
                  <c:v>2613.5748297830778</c:v>
                </c:pt>
                <c:pt idx="3">
                  <c:v>2655.5287653292894</c:v>
                </c:pt>
                <c:pt idx="4">
                  <c:v>2733.1242231780134</c:v>
                </c:pt>
                <c:pt idx="5">
                  <c:v>2822.9549666207236</c:v>
                </c:pt>
                <c:pt idx="6">
                  <c:v>2914.5795581903117</c:v>
                </c:pt>
                <c:pt idx="7">
                  <c:v>3047.9899760189528</c:v>
                </c:pt>
                <c:pt idx="8">
                  <c:v>3094.9678905284404</c:v>
                </c:pt>
                <c:pt idx="9">
                  <c:v>3241.7877031892972</c:v>
                </c:pt>
                <c:pt idx="10">
                  <c:v>3297.9630650025738</c:v>
                </c:pt>
                <c:pt idx="11">
                  <c:v>3224.310056470465</c:v>
                </c:pt>
                <c:pt idx="12">
                  <c:v>3264.2453234240566</c:v>
                </c:pt>
                <c:pt idx="13">
                  <c:v>3311.2400141145649</c:v>
                </c:pt>
                <c:pt idx="14">
                  <c:v>3360.4046417611389</c:v>
                </c:pt>
                <c:pt idx="15">
                  <c:v>3401.668012903142</c:v>
                </c:pt>
                <c:pt idx="16">
                  <c:v>3440.7589805922908</c:v>
                </c:pt>
                <c:pt idx="17">
                  <c:v>3478.5699662914212</c:v>
                </c:pt>
                <c:pt idx="18">
                  <c:v>3516.5946136316916</c:v>
                </c:pt>
                <c:pt idx="19">
                  <c:v>3554.7829668977906</c:v>
                </c:pt>
                <c:pt idx="20">
                  <c:v>3594.6864670601144</c:v>
                </c:pt>
                <c:pt idx="21">
                  <c:v>3634.5514880106575</c:v>
                </c:pt>
                <c:pt idx="22">
                  <c:v>3674.8566410594412</c:v>
                </c:pt>
                <c:pt idx="23">
                  <c:v>3715.4665454121941</c:v>
                </c:pt>
                <c:pt idx="24">
                  <c:v>3756.2429350006978</c:v>
                </c:pt>
                <c:pt idx="25">
                  <c:v>3797.1617057796548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5491.9730778200928</c:v>
                </c:pt>
                <c:pt idx="1">
                  <c:v>5402.9298330231813</c:v>
                </c:pt>
                <c:pt idx="2">
                  <c:v>5509.9312605354189</c:v>
                </c:pt>
                <c:pt idx="3">
                  <c:v>5652.3270731849989</c:v>
                </c:pt>
                <c:pt idx="4">
                  <c:v>5862.1569214731471</c:v>
                </c:pt>
                <c:pt idx="5">
                  <c:v>5913.2437820431551</c:v>
                </c:pt>
                <c:pt idx="6">
                  <c:v>6251.9687149225729</c:v>
                </c:pt>
                <c:pt idx="7">
                  <c:v>6240.211792171287</c:v>
                </c:pt>
                <c:pt idx="8">
                  <c:v>6468.2700325882961</c:v>
                </c:pt>
                <c:pt idx="9">
                  <c:v>6746.1756140652815</c:v>
                </c:pt>
                <c:pt idx="10">
                  <c:v>7042.9080467763579</c:v>
                </c:pt>
                <c:pt idx="11">
                  <c:v>7262.1326299583279</c:v>
                </c:pt>
                <c:pt idx="12">
                  <c:v>7338.5333255671703</c:v>
                </c:pt>
                <c:pt idx="13">
                  <c:v>7433.0828564561989</c:v>
                </c:pt>
                <c:pt idx="14">
                  <c:v>7533.4177266732158</c:v>
                </c:pt>
                <c:pt idx="15">
                  <c:v>7617.8402642532928</c:v>
                </c:pt>
                <c:pt idx="16">
                  <c:v>7697.5012435314075</c:v>
                </c:pt>
                <c:pt idx="17">
                  <c:v>7774.5333902288385</c:v>
                </c:pt>
                <c:pt idx="18">
                  <c:v>7851.6227832684635</c:v>
                </c:pt>
                <c:pt idx="19">
                  <c:v>7928.5151478056887</c:v>
                </c:pt>
                <c:pt idx="20">
                  <c:v>8008.5796842314548</c:v>
                </c:pt>
                <c:pt idx="21">
                  <c:v>8088.2939954119211</c:v>
                </c:pt>
                <c:pt idx="22">
                  <c:v>8168.6331211718207</c:v>
                </c:pt>
                <c:pt idx="23">
                  <c:v>8249.8073659829115</c:v>
                </c:pt>
                <c:pt idx="24">
                  <c:v>8331.1525707584042</c:v>
                </c:pt>
                <c:pt idx="25">
                  <c:v>8412.6838694340058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3292.8809152178014</c:v>
                </c:pt>
                <c:pt idx="1">
                  <c:v>3340.7743061288438</c:v>
                </c:pt>
                <c:pt idx="2">
                  <c:v>3482.3831636120644</c:v>
                </c:pt>
                <c:pt idx="3">
                  <c:v>3461.7090507575394</c:v>
                </c:pt>
                <c:pt idx="4">
                  <c:v>3613.7383486507815</c:v>
                </c:pt>
                <c:pt idx="5">
                  <c:v>3673.0788633877009</c:v>
                </c:pt>
                <c:pt idx="6">
                  <c:v>3791.6380386926935</c:v>
                </c:pt>
                <c:pt idx="7">
                  <c:v>3885.2109821433723</c:v>
                </c:pt>
                <c:pt idx="8">
                  <c:v>3944.0265647693341</c:v>
                </c:pt>
                <c:pt idx="9">
                  <c:v>3966.2899027660596</c:v>
                </c:pt>
                <c:pt idx="10">
                  <c:v>4152.3256176523755</c:v>
                </c:pt>
                <c:pt idx="11">
                  <c:v>3935.831418832071</c:v>
                </c:pt>
                <c:pt idx="12">
                  <c:v>3968.0410741823889</c:v>
                </c:pt>
                <c:pt idx="13">
                  <c:v>4008.1728316571871</c:v>
                </c:pt>
                <c:pt idx="14">
                  <c:v>4051.4327249098806</c:v>
                </c:pt>
                <c:pt idx="15">
                  <c:v>4085.2103165469375</c:v>
                </c:pt>
                <c:pt idx="16">
                  <c:v>4116.2166871819472</c:v>
                </c:pt>
                <c:pt idx="17">
                  <c:v>4145.6386526853184</c:v>
                </c:pt>
                <c:pt idx="18">
                  <c:v>4174.8738087292268</c:v>
                </c:pt>
                <c:pt idx="19">
                  <c:v>4204.3685027614192</c:v>
                </c:pt>
                <c:pt idx="20">
                  <c:v>4235.564083271267</c:v>
                </c:pt>
                <c:pt idx="21">
                  <c:v>4266.5386129818016</c:v>
                </c:pt>
                <c:pt idx="22">
                  <c:v>4297.971674519722</c:v>
                </c:pt>
                <c:pt idx="23">
                  <c:v>4329.8842060471761</c:v>
                </c:pt>
                <c:pt idx="24">
                  <c:v>4361.9704015637572</c:v>
                </c:pt>
                <c:pt idx="25">
                  <c:v>4393.8811791663111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3073.7028316252922</c:v>
                </c:pt>
                <c:pt idx="1">
                  <c:v>3023.1591898142456</c:v>
                </c:pt>
                <c:pt idx="2">
                  <c:v>3065.4206757518537</c:v>
                </c:pt>
                <c:pt idx="3">
                  <c:v>3018.2231564875692</c:v>
                </c:pt>
                <c:pt idx="4">
                  <c:v>3112.732047094361</c:v>
                </c:pt>
                <c:pt idx="5">
                  <c:v>3149.4937606467925</c:v>
                </c:pt>
                <c:pt idx="6">
                  <c:v>3066.8291852932562</c:v>
                </c:pt>
                <c:pt idx="7">
                  <c:v>3167.5005270223396</c:v>
                </c:pt>
                <c:pt idx="8">
                  <c:v>3127.4203105555898</c:v>
                </c:pt>
                <c:pt idx="9">
                  <c:v>3060.9066259906567</c:v>
                </c:pt>
                <c:pt idx="10">
                  <c:v>3147.0303376748875</c:v>
                </c:pt>
                <c:pt idx="11">
                  <c:v>3032.4655276586682</c:v>
                </c:pt>
                <c:pt idx="12">
                  <c:v>3014.6256638838795</c:v>
                </c:pt>
                <c:pt idx="13">
                  <c:v>3000.552070528373</c:v>
                </c:pt>
                <c:pt idx="14">
                  <c:v>2988.2635707707336</c:v>
                </c:pt>
                <c:pt idx="15">
                  <c:v>2968.9679970158159</c:v>
                </c:pt>
                <c:pt idx="16">
                  <c:v>2946.8231327200392</c:v>
                </c:pt>
                <c:pt idx="17">
                  <c:v>2923.229260744667</c:v>
                </c:pt>
                <c:pt idx="18">
                  <c:v>2899.4854812273256</c:v>
                </c:pt>
                <c:pt idx="19">
                  <c:v>2874.9420038138269</c:v>
                </c:pt>
                <c:pt idx="20">
                  <c:v>2850.4050574201742</c:v>
                </c:pt>
                <c:pt idx="21">
                  <c:v>2825.3204360006548</c:v>
                </c:pt>
                <c:pt idx="22">
                  <c:v>2799.463541867246</c:v>
                </c:pt>
                <c:pt idx="23">
                  <c:v>2773.2196660744248</c:v>
                </c:pt>
                <c:pt idx="24">
                  <c:v>2746.5325962526326</c:v>
                </c:pt>
                <c:pt idx="25">
                  <c:v>2720.1220560833954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2717.1847724779168</c:v>
                </c:pt>
                <c:pt idx="1">
                  <c:v>2696.3239840295328</c:v>
                </c:pt>
                <c:pt idx="2">
                  <c:v>2685.8942692459532</c:v>
                </c:pt>
                <c:pt idx="3">
                  <c:v>2701.6876685252873</c:v>
                </c:pt>
                <c:pt idx="4">
                  <c:v>2849.286809361256</c:v>
                </c:pt>
                <c:pt idx="5">
                  <c:v>2889.6909563037434</c:v>
                </c:pt>
                <c:pt idx="6">
                  <c:v>2843.9148778728741</c:v>
                </c:pt>
                <c:pt idx="7">
                  <c:v>2867.9784983565924</c:v>
                </c:pt>
                <c:pt idx="8">
                  <c:v>2766.1238960753235</c:v>
                </c:pt>
                <c:pt idx="9">
                  <c:v>2850.7714544337691</c:v>
                </c:pt>
                <c:pt idx="10">
                  <c:v>2510.2782475953591</c:v>
                </c:pt>
                <c:pt idx="11">
                  <c:v>2553.4492322286096</c:v>
                </c:pt>
                <c:pt idx="12">
                  <c:v>2549.24814825257</c:v>
                </c:pt>
                <c:pt idx="13">
                  <c:v>2553.2576345613443</c:v>
                </c:pt>
                <c:pt idx="14">
                  <c:v>2557.7545819227225</c:v>
                </c:pt>
                <c:pt idx="15">
                  <c:v>2554.2376173672178</c:v>
                </c:pt>
                <c:pt idx="16">
                  <c:v>2549.1496598952281</c:v>
                </c:pt>
                <c:pt idx="17">
                  <c:v>2542.8954402625322</c:v>
                </c:pt>
                <c:pt idx="18">
                  <c:v>2536.476436280399</c:v>
                </c:pt>
                <c:pt idx="19">
                  <c:v>2529.9128018152524</c:v>
                </c:pt>
                <c:pt idx="20">
                  <c:v>2524.3705579416956</c:v>
                </c:pt>
                <c:pt idx="21">
                  <c:v>2518.5092396602536</c:v>
                </c:pt>
                <c:pt idx="22">
                  <c:v>2512.5438189654983</c:v>
                </c:pt>
                <c:pt idx="23">
                  <c:v>2506.5490755226715</c:v>
                </c:pt>
                <c:pt idx="24">
                  <c:v>2500.3412395411979</c:v>
                </c:pt>
                <c:pt idx="25">
                  <c:v>2494.1382265499906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2507.9931886998547</c:v>
                </c:pt>
                <c:pt idx="1">
                  <c:v>2434.3725801091136</c:v>
                </c:pt>
                <c:pt idx="2">
                  <c:v>2458.1902894290465</c:v>
                </c:pt>
                <c:pt idx="3">
                  <c:v>2518.7970046549699</c:v>
                </c:pt>
                <c:pt idx="4">
                  <c:v>2631.065016807092</c:v>
                </c:pt>
                <c:pt idx="5">
                  <c:v>2686.476945366268</c:v>
                </c:pt>
                <c:pt idx="6">
                  <c:v>2765.9673059352681</c:v>
                </c:pt>
                <c:pt idx="7">
                  <c:v>2764.7207813763571</c:v>
                </c:pt>
                <c:pt idx="8">
                  <c:v>2705.2417741537793</c:v>
                </c:pt>
                <c:pt idx="9">
                  <c:v>2794.9761350106005</c:v>
                </c:pt>
                <c:pt idx="10">
                  <c:v>2683.1938804533893</c:v>
                </c:pt>
                <c:pt idx="11">
                  <c:v>2761.2424928887531</c:v>
                </c:pt>
                <c:pt idx="12">
                  <c:v>2784.8092738547907</c:v>
                </c:pt>
                <c:pt idx="13">
                  <c:v>2813.1952298991528</c:v>
                </c:pt>
                <c:pt idx="14">
                  <c:v>2844.3123937828123</c:v>
                </c:pt>
                <c:pt idx="15">
                  <c:v>2869.9409146651319</c:v>
                </c:pt>
                <c:pt idx="16">
                  <c:v>2893.4109086002841</c:v>
                </c:pt>
                <c:pt idx="17">
                  <c:v>2915.9011867858576</c:v>
                </c:pt>
                <c:pt idx="18">
                  <c:v>2938.2731204241359</c:v>
                </c:pt>
                <c:pt idx="19">
                  <c:v>2960.7923129349451</c:v>
                </c:pt>
                <c:pt idx="20">
                  <c:v>2984.3250650609289</c:v>
                </c:pt>
                <c:pt idx="21">
                  <c:v>3007.831026059398</c:v>
                </c:pt>
                <c:pt idx="22">
                  <c:v>3031.5681858601843</c:v>
                </c:pt>
                <c:pt idx="23">
                  <c:v>3055.6765989954679</c:v>
                </c:pt>
                <c:pt idx="24">
                  <c:v>3079.8409868969161</c:v>
                </c:pt>
                <c:pt idx="25">
                  <c:v>3104.1211527286227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2229.4944453328212</c:v>
                </c:pt>
                <c:pt idx="1">
                  <c:v>2345.7276527371537</c:v>
                </c:pt>
                <c:pt idx="2">
                  <c:v>2438.7847576373715</c:v>
                </c:pt>
                <c:pt idx="3">
                  <c:v>2382.7298681666784</c:v>
                </c:pt>
                <c:pt idx="4">
                  <c:v>2427.5773177208252</c:v>
                </c:pt>
                <c:pt idx="5">
                  <c:v>2451.7146582710288</c:v>
                </c:pt>
                <c:pt idx="6">
                  <c:v>2483.8089515373349</c:v>
                </c:pt>
                <c:pt idx="7">
                  <c:v>2458.898321193738</c:v>
                </c:pt>
                <c:pt idx="8">
                  <c:v>2428.504132294684</c:v>
                </c:pt>
                <c:pt idx="9">
                  <c:v>2391.0620840559268</c:v>
                </c:pt>
                <c:pt idx="10">
                  <c:v>2362.3332816348438</c:v>
                </c:pt>
                <c:pt idx="11">
                  <c:v>2351.1336687667331</c:v>
                </c:pt>
                <c:pt idx="12">
                  <c:v>2355.4658005247702</c:v>
                </c:pt>
                <c:pt idx="13">
                  <c:v>2364.0069535970097</c:v>
                </c:pt>
                <c:pt idx="14">
                  <c:v>2374.2405052764288</c:v>
                </c:pt>
                <c:pt idx="15">
                  <c:v>2379.1398631656634</c:v>
                </c:pt>
                <c:pt idx="16">
                  <c:v>2381.8206967951428</c:v>
                </c:pt>
                <c:pt idx="17">
                  <c:v>2383.352766465865</c:v>
                </c:pt>
                <c:pt idx="18">
                  <c:v>2384.4375702694006</c:v>
                </c:pt>
                <c:pt idx="19">
                  <c:v>2385.2593131461635</c:v>
                </c:pt>
                <c:pt idx="20">
                  <c:v>2386.2602708685226</c:v>
                </c:pt>
                <c:pt idx="21">
                  <c:v>2386.9788531542281</c:v>
                </c:pt>
                <c:pt idx="22">
                  <c:v>2387.6435566940841</c:v>
                </c:pt>
                <c:pt idx="23">
                  <c:v>2388.2059198440029</c:v>
                </c:pt>
                <c:pt idx="24">
                  <c:v>2388.5437178446155</c:v>
                </c:pt>
                <c:pt idx="25">
                  <c:v>2388.7952867984582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1701.6244886384293</c:v>
                </c:pt>
                <c:pt idx="1">
                  <c:v>1665.961261182671</c:v>
                </c:pt>
                <c:pt idx="2">
                  <c:v>1664.6006004656247</c:v>
                </c:pt>
                <c:pt idx="3">
                  <c:v>1678.7128510332534</c:v>
                </c:pt>
                <c:pt idx="4">
                  <c:v>1749.8386559194137</c:v>
                </c:pt>
                <c:pt idx="5">
                  <c:v>1767.3257043641233</c:v>
                </c:pt>
                <c:pt idx="6">
                  <c:v>1849.6771931393055</c:v>
                </c:pt>
                <c:pt idx="7">
                  <c:v>1862.1854166816645</c:v>
                </c:pt>
                <c:pt idx="8">
                  <c:v>1899.0530119940054</c:v>
                </c:pt>
                <c:pt idx="9">
                  <c:v>1870.5480838882245</c:v>
                </c:pt>
                <c:pt idx="10">
                  <c:v>1662.1375442945014</c:v>
                </c:pt>
                <c:pt idx="11">
                  <c:v>1858.667137681759</c:v>
                </c:pt>
                <c:pt idx="12">
                  <c:v>1858.4139273297365</c:v>
                </c:pt>
                <c:pt idx="13">
                  <c:v>1862.8192574988657</c:v>
                </c:pt>
                <c:pt idx="14">
                  <c:v>1867.7515232698506</c:v>
                </c:pt>
                <c:pt idx="15">
                  <c:v>1867.9319690347922</c:v>
                </c:pt>
                <c:pt idx="16">
                  <c:v>1866.8535741401711</c:v>
                </c:pt>
                <c:pt idx="17">
                  <c:v>1864.8536549352887</c:v>
                </c:pt>
                <c:pt idx="18">
                  <c:v>1862.8469280879181</c:v>
                </c:pt>
                <c:pt idx="19">
                  <c:v>1860.7847101884995</c:v>
                </c:pt>
                <c:pt idx="20">
                  <c:v>1859.4811490298905</c:v>
                </c:pt>
                <c:pt idx="21">
                  <c:v>1858.0165306112958</c:v>
                </c:pt>
                <c:pt idx="22">
                  <c:v>1856.5317302758308</c:v>
                </c:pt>
                <c:pt idx="23">
                  <c:v>1855.1323182770107</c:v>
                </c:pt>
                <c:pt idx="24">
                  <c:v>1853.5809008946585</c:v>
                </c:pt>
                <c:pt idx="25">
                  <c:v>1852.0872704524211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3174.7815815176359</c:v>
                </c:pt>
                <c:pt idx="1">
                  <c:v>3074.9145869127196</c:v>
                </c:pt>
                <c:pt idx="2">
                  <c:v>3085.6591535398634</c:v>
                </c:pt>
                <c:pt idx="3">
                  <c:v>3097.4155618586692</c:v>
                </c:pt>
                <c:pt idx="4">
                  <c:v>3247.8516597920488</c:v>
                </c:pt>
                <c:pt idx="5">
                  <c:v>3302.1923629942416</c:v>
                </c:pt>
                <c:pt idx="6">
                  <c:v>3303.0061744120762</c:v>
                </c:pt>
                <c:pt idx="7">
                  <c:v>3265.690705030966</c:v>
                </c:pt>
                <c:pt idx="8">
                  <c:v>3260.4173870363206</c:v>
                </c:pt>
                <c:pt idx="9">
                  <c:v>3290.2423965940557</c:v>
                </c:pt>
                <c:pt idx="10">
                  <c:v>3001.5109789107441</c:v>
                </c:pt>
                <c:pt idx="11">
                  <c:v>3021.8868355113327</c:v>
                </c:pt>
                <c:pt idx="12">
                  <c:v>3015.7884629813002</c:v>
                </c:pt>
                <c:pt idx="13">
                  <c:v>3015.313151687048</c:v>
                </c:pt>
                <c:pt idx="14">
                  <c:v>3016.2243316330805</c:v>
                </c:pt>
                <c:pt idx="15">
                  <c:v>3009.8110450580339</c:v>
                </c:pt>
                <c:pt idx="16">
                  <c:v>3000.6521165536037</c:v>
                </c:pt>
                <c:pt idx="17">
                  <c:v>2989.9396816107455</c:v>
                </c:pt>
                <c:pt idx="18">
                  <c:v>2979.209258090505</c:v>
                </c:pt>
                <c:pt idx="19">
                  <c:v>2968.4662406478114</c:v>
                </c:pt>
                <c:pt idx="20">
                  <c:v>2958.8536651288</c:v>
                </c:pt>
                <c:pt idx="21">
                  <c:v>2948.7088181198133</c:v>
                </c:pt>
                <c:pt idx="22">
                  <c:v>2938.3157295981064</c:v>
                </c:pt>
                <c:pt idx="23">
                  <c:v>2928.0333038572276</c:v>
                </c:pt>
                <c:pt idx="24">
                  <c:v>2917.5916512581161</c:v>
                </c:pt>
                <c:pt idx="25">
                  <c:v>2907.1002530060523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3797.1617057796548</c:v>
                </c:pt>
                <c:pt idx="1">
                  <c:v>8412.6838694340058</c:v>
                </c:pt>
                <c:pt idx="2">
                  <c:v>4393.8811791663111</c:v>
                </c:pt>
                <c:pt idx="3">
                  <c:v>2720.1220560833954</c:v>
                </c:pt>
                <c:pt idx="4">
                  <c:v>2494.1382265499906</c:v>
                </c:pt>
                <c:pt idx="5">
                  <c:v>3104.1211527286227</c:v>
                </c:pt>
                <c:pt idx="6">
                  <c:v>2388.7952867984582</c:v>
                </c:pt>
                <c:pt idx="7">
                  <c:v>1852.0872704524211</c:v>
                </c:pt>
                <c:pt idx="8">
                  <c:v>2907.1002530060523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3297.9630650025738</c:v>
                </c:pt>
                <c:pt idx="1">
                  <c:v>7042.9080467763579</c:v>
                </c:pt>
                <c:pt idx="2">
                  <c:v>4152.3256176523755</c:v>
                </c:pt>
                <c:pt idx="3">
                  <c:v>3147.0303376748875</c:v>
                </c:pt>
                <c:pt idx="4">
                  <c:v>2510.2782475953591</c:v>
                </c:pt>
                <c:pt idx="5">
                  <c:v>2683.1938804533893</c:v>
                </c:pt>
                <c:pt idx="6">
                  <c:v>2362.3332816348438</c:v>
                </c:pt>
                <c:pt idx="7">
                  <c:v>1662.1375442945014</c:v>
                </c:pt>
                <c:pt idx="8">
                  <c:v>3001.5109789107441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11.840196230749029</c:v>
                </c:pt>
                <c:pt idx="1">
                  <c:v>26.232179601343482</c:v>
                </c:pt>
                <c:pt idx="2">
                  <c:v>13.700869071953866</c:v>
                </c:pt>
                <c:pt idx="3">
                  <c:v>8.481803360281976</c:v>
                </c:pt>
                <c:pt idx="4">
                  <c:v>7.77714733191769</c:v>
                </c:pt>
                <c:pt idx="5">
                  <c:v>9.6791778755125097</c:v>
                </c:pt>
                <c:pt idx="6">
                  <c:v>7.4486701231952832</c:v>
                </c:pt>
                <c:pt idx="7">
                  <c:v>5.7751232151242853</c:v>
                </c:pt>
                <c:pt idx="8">
                  <c:v>9.0648331899218846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11.044870388947297</c:v>
                </c:pt>
                <c:pt idx="1">
                  <c:v>23.586682144318715</c:v>
                </c:pt>
                <c:pt idx="2">
                  <c:v>13.906128527136863</c:v>
                </c:pt>
                <c:pt idx="3">
                  <c:v>10.53939704739448</c:v>
                </c:pt>
                <c:pt idx="4">
                  <c:v>8.4069158260457506</c:v>
                </c:pt>
                <c:pt idx="5">
                  <c:v>8.9860098654564826</c:v>
                </c:pt>
                <c:pt idx="6">
                  <c:v>7.9114484901403879</c:v>
                </c:pt>
                <c:pt idx="7">
                  <c:v>5.5664946463921616</c:v>
                </c:pt>
                <c:pt idx="8">
                  <c:v>10.052053064167842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9.8511237530991309</c:v>
                </c:pt>
                <c:pt idx="1">
                  <c:v>20.635148972596944</c:v>
                </c:pt>
                <c:pt idx="2">
                  <c:v>12.817758294401587</c:v>
                </c:pt>
                <c:pt idx="3">
                  <c:v>10.990629734659034</c:v>
                </c:pt>
                <c:pt idx="4">
                  <c:v>10.084008974764554</c:v>
                </c:pt>
                <c:pt idx="5">
                  <c:v>9.3748632768063924</c:v>
                </c:pt>
                <c:pt idx="6">
                  <c:v>8.5556251486458788</c:v>
                </c:pt>
                <c:pt idx="7">
                  <c:v>6.1673474892747722</c:v>
                </c:pt>
                <c:pt idx="8">
                  <c:v>11.523494355751694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8.6192557984654403E-2</c:v>
                </c:pt>
                <c:pt idx="1">
                  <c:v>9.4786896724300157E-2</c:v>
                </c:pt>
                <c:pt idx="2">
                  <c:v>9.6783155902000081E-2</c:v>
                </c:pt>
                <c:pt idx="3">
                  <c:v>9.774785439542584E-2</c:v>
                </c:pt>
                <c:pt idx="4">
                  <c:v>9.6825319764221374E-2</c:v>
                </c:pt>
                <c:pt idx="5">
                  <c:v>9.8511237530991308E-2</c:v>
                </c:pt>
                <c:pt idx="6">
                  <c:v>9.9570931144395289E-2</c:v>
                </c:pt>
                <c:pt idx="7">
                  <c:v>0.10311062490553458</c:v>
                </c:pt>
                <c:pt idx="8">
                  <c:v>0.10422864163847376</c:v>
                </c:pt>
                <c:pt idx="9">
                  <c:v>0.10729862823488999</c:v>
                </c:pt>
                <c:pt idx="10">
                  <c:v>0.11044870388947296</c:v>
                </c:pt>
                <c:pt idx="11">
                  <c:v>0.10747299313971648</c:v>
                </c:pt>
                <c:pt idx="12">
                  <c:v>0.10826982020248534</c:v>
                </c:pt>
                <c:pt idx="13">
                  <c:v>0.10905998536688376</c:v>
                </c:pt>
                <c:pt idx="14">
                  <c:v>0.10983939301696316</c:v>
                </c:pt>
                <c:pt idx="15">
                  <c:v>0.11060627168533564</c:v>
                </c:pt>
                <c:pt idx="16">
                  <c:v>0.11137598010173452</c:v>
                </c:pt>
                <c:pt idx="17">
                  <c:v>0.11214351238377462</c:v>
                </c:pt>
                <c:pt idx="18">
                  <c:v>0.11291468463504695</c:v>
                </c:pt>
                <c:pt idx="19">
                  <c:v>0.11368821082325699</c:v>
                </c:pt>
                <c:pt idx="20">
                  <c:v>0.11447125199605418</c:v>
                </c:pt>
                <c:pt idx="21">
                  <c:v>0.11525544370147048</c:v>
                </c:pt>
                <c:pt idx="22">
                  <c:v>0.11604494803187845</c:v>
                </c:pt>
                <c:pt idx="23">
                  <c:v>0.11683131457749606</c:v>
                </c:pt>
                <c:pt idx="24">
                  <c:v>0.11761857501158979</c:v>
                </c:pt>
                <c:pt idx="25">
                  <c:v>0.1184019623074903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0.20746926554878739</c:v>
                </c:pt>
                <c:pt idx="1">
                  <c:v>0.2039180104221619</c:v>
                </c:pt>
                <c:pt idx="2">
                  <c:v>0.20403798281220961</c:v>
                </c:pt>
                <c:pt idx="3">
                  <c:v>0.20805756313338208</c:v>
                </c:pt>
                <c:pt idx="4">
                  <c:v>0.20767633377808306</c:v>
                </c:pt>
                <c:pt idx="5">
                  <c:v>0.20635148972596945</c:v>
                </c:pt>
                <c:pt idx="6">
                  <c:v>0.21358632832002489</c:v>
                </c:pt>
                <c:pt idx="7">
                  <c:v>0.21110047687035646</c:v>
                </c:pt>
                <c:pt idx="8">
                  <c:v>0.21783069262551025</c:v>
                </c:pt>
                <c:pt idx="9">
                  <c:v>0.22328895519861972</c:v>
                </c:pt>
                <c:pt idx="10">
                  <c:v>0.23586682144318716</c:v>
                </c:pt>
                <c:pt idx="11">
                  <c:v>0.2420620587505127</c:v>
                </c:pt>
                <c:pt idx="12">
                  <c:v>0.24340746634681959</c:v>
                </c:pt>
                <c:pt idx="13">
                  <c:v>0.24481822643494425</c:v>
                </c:pt>
                <c:pt idx="14">
                  <c:v>0.2462399974567806</c:v>
                </c:pt>
                <c:pt idx="15">
                  <c:v>0.24769639680516353</c:v>
                </c:pt>
                <c:pt idx="16">
                  <c:v>0.24916500986217077</c:v>
                </c:pt>
                <c:pt idx="17">
                  <c:v>0.25063847787276494</c:v>
                </c:pt>
                <c:pt idx="18">
                  <c:v>0.25210853335480932</c:v>
                </c:pt>
                <c:pt idx="19">
                  <c:v>0.25356785773780738</c:v>
                </c:pt>
                <c:pt idx="20">
                  <c:v>0.25502979232397349</c:v>
                </c:pt>
                <c:pt idx="21">
                  <c:v>0.25648829471924289</c:v>
                </c:pt>
                <c:pt idx="22">
                  <c:v>0.25794981917024723</c:v>
                </c:pt>
                <c:pt idx="23">
                  <c:v>0.25941179332351266</c:v>
                </c:pt>
                <c:pt idx="24">
                  <c:v>0.2608719165754822</c:v>
                </c:pt>
                <c:pt idx="25">
                  <c:v>0.2623217960134348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0.12439456190688843</c:v>
                </c:pt>
                <c:pt idx="1">
                  <c:v>0.12608789505491055</c:v>
                </c:pt>
                <c:pt idx="2">
                  <c:v>0.12895595289396788</c:v>
                </c:pt>
                <c:pt idx="3">
                  <c:v>0.12742269512219606</c:v>
                </c:pt>
                <c:pt idx="4">
                  <c:v>0.12802249095925983</c:v>
                </c:pt>
                <c:pt idx="5">
                  <c:v>0.12817758294401588</c:v>
                </c:pt>
                <c:pt idx="6">
                  <c:v>0.12953392506106651</c:v>
                </c:pt>
                <c:pt idx="7">
                  <c:v>0.13143302156849279</c:v>
                </c:pt>
                <c:pt idx="8">
                  <c:v>0.13282222820146125</c:v>
                </c:pt>
                <c:pt idx="9">
                  <c:v>0.1312786353437046</c:v>
                </c:pt>
                <c:pt idx="10">
                  <c:v>0.13906128527136863</c:v>
                </c:pt>
                <c:pt idx="11">
                  <c:v>0.13118948725987525</c:v>
                </c:pt>
                <c:pt idx="12">
                  <c:v>0.13161360470516095</c:v>
                </c:pt>
                <c:pt idx="13">
                  <c:v>0.13201437180788719</c:v>
                </c:pt>
                <c:pt idx="14">
                  <c:v>0.13242658512694494</c:v>
                </c:pt>
                <c:pt idx="15">
                  <c:v>0.13283185791493418</c:v>
                </c:pt>
                <c:pt idx="16">
                  <c:v>0.13324027356519089</c:v>
                </c:pt>
                <c:pt idx="17">
                  <c:v>0.13364873614478931</c:v>
                </c:pt>
                <c:pt idx="18">
                  <c:v>0.1340514364881383</c:v>
                </c:pt>
                <c:pt idx="19">
                  <c:v>0.13446309863967146</c:v>
                </c:pt>
                <c:pt idx="20">
                  <c:v>0.13487972538481566</c:v>
                </c:pt>
                <c:pt idx="21">
                  <c:v>0.13529641897515804</c:v>
                </c:pt>
                <c:pt idx="22">
                  <c:v>0.13572172966952462</c:v>
                </c:pt>
                <c:pt idx="23">
                  <c:v>0.13615142474784644</c:v>
                </c:pt>
                <c:pt idx="24">
                  <c:v>0.13658561273927983</c:v>
                </c:pt>
                <c:pt idx="25">
                  <c:v>0.13700869071953867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0.11611471140817151</c:v>
                </c:pt>
                <c:pt idx="1">
                  <c:v>0.11410042814334487</c:v>
                </c:pt>
                <c:pt idx="2">
                  <c:v>0.11351543632333271</c:v>
                </c:pt>
                <c:pt idx="3">
                  <c:v>0.11109833999356659</c:v>
                </c:pt>
                <c:pt idx="4">
                  <c:v>0.11027353723783551</c:v>
                </c:pt>
                <c:pt idx="5">
                  <c:v>0.10990629734659034</c:v>
                </c:pt>
                <c:pt idx="6">
                  <c:v>0.10477224297492219</c:v>
                </c:pt>
                <c:pt idx="7">
                  <c:v>0.10715355407975026</c:v>
                </c:pt>
                <c:pt idx="8">
                  <c:v>0.10532153558017261</c:v>
                </c:pt>
                <c:pt idx="9">
                  <c:v>0.10131171816117686</c:v>
                </c:pt>
                <c:pt idx="10">
                  <c:v>0.1053939704739448</c:v>
                </c:pt>
                <c:pt idx="11">
                  <c:v>0.10107841403045667</c:v>
                </c:pt>
                <c:pt idx="12">
                  <c:v>9.9990333528036754E-2</c:v>
                </c:pt>
                <c:pt idx="13">
                  <c:v>9.8827074905321249E-2</c:v>
                </c:pt>
                <c:pt idx="14">
                  <c:v>9.7675456315326439E-2</c:v>
                </c:pt>
                <c:pt idx="15">
                  <c:v>9.6536898855905051E-2</c:v>
                </c:pt>
                <c:pt idx="16">
                  <c:v>9.538747597387974E-2</c:v>
                </c:pt>
                <c:pt idx="17">
                  <c:v>9.4240219394646579E-2</c:v>
                </c:pt>
                <c:pt idx="18">
                  <c:v>9.3099866401311127E-2</c:v>
                </c:pt>
                <c:pt idx="19">
                  <c:v>9.194570123628619E-2</c:v>
                </c:pt>
                <c:pt idx="20">
                  <c:v>9.0769929062999827E-2</c:v>
                </c:pt>
                <c:pt idx="21">
                  <c:v>8.9593877408054107E-2</c:v>
                </c:pt>
                <c:pt idx="22">
                  <c:v>8.8401707321966866E-2</c:v>
                </c:pt>
                <c:pt idx="23">
                  <c:v>8.7202749705742599E-2</c:v>
                </c:pt>
                <c:pt idx="24">
                  <c:v>8.600169259128515E-2</c:v>
                </c:pt>
                <c:pt idx="25">
                  <c:v>8.4818033602819767E-2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0.10264659369563087</c:v>
                </c:pt>
                <c:pt idx="1">
                  <c:v>0.10176497553535789</c:v>
                </c:pt>
                <c:pt idx="2">
                  <c:v>9.9461213367399548E-2</c:v>
                </c:pt>
                <c:pt idx="3">
                  <c:v>9.9446926085991955E-2</c:v>
                </c:pt>
                <c:pt idx="4">
                  <c:v>0.10094056613921164</c:v>
                </c:pt>
                <c:pt idx="5">
                  <c:v>0.10084008974764555</c:v>
                </c:pt>
                <c:pt idx="6">
                  <c:v>9.7156810041248209E-2</c:v>
                </c:pt>
                <c:pt idx="7">
                  <c:v>9.7021006469132198E-2</c:v>
                </c:pt>
                <c:pt idx="8">
                  <c:v>9.3154225339128566E-2</c:v>
                </c:pt>
                <c:pt idx="9">
                  <c:v>9.4356538576228957E-2</c:v>
                </c:pt>
                <c:pt idx="10">
                  <c:v>8.4069158260457508E-2</c:v>
                </c:pt>
                <c:pt idx="11">
                  <c:v>8.5111799737499425E-2</c:v>
                </c:pt>
                <c:pt idx="12">
                  <c:v>8.4554502286398325E-2</c:v>
                </c:pt>
                <c:pt idx="13">
                  <c:v>8.4094852404592288E-2</c:v>
                </c:pt>
                <c:pt idx="14">
                  <c:v>8.3603684887636184E-2</c:v>
                </c:pt>
                <c:pt idx="15">
                  <c:v>8.3051814222844064E-2</c:v>
                </c:pt>
                <c:pt idx="16">
                  <c:v>8.2514946091330532E-2</c:v>
                </c:pt>
                <c:pt idx="17">
                  <c:v>8.1978867482648446E-2</c:v>
                </c:pt>
                <c:pt idx="18">
                  <c:v>8.1443973034767747E-2</c:v>
                </c:pt>
                <c:pt idx="19">
                  <c:v>8.0911060578258656E-2</c:v>
                </c:pt>
                <c:pt idx="20">
                  <c:v>8.0387499971838652E-2</c:v>
                </c:pt>
                <c:pt idx="21">
                  <c:v>7.9864572242495199E-2</c:v>
                </c:pt>
                <c:pt idx="22">
                  <c:v>7.9341330935731744E-2</c:v>
                </c:pt>
                <c:pt idx="23">
                  <c:v>7.8817402866382988E-2</c:v>
                </c:pt>
                <c:pt idx="24">
                  <c:v>7.8292745897036373E-2</c:v>
                </c:pt>
                <c:pt idx="25">
                  <c:v>7.7771473319176901E-2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9.4744001379455656E-2</c:v>
                </c:pt>
                <c:pt idx="1">
                  <c:v>9.187837497499951E-2</c:v>
                </c:pt>
                <c:pt idx="2">
                  <c:v>9.1029118932225234E-2</c:v>
                </c:pt>
                <c:pt idx="3">
                  <c:v>9.2714869474260331E-2</c:v>
                </c:pt>
                <c:pt idx="4">
                  <c:v>9.3209708293676266E-2</c:v>
                </c:pt>
                <c:pt idx="5">
                  <c:v>9.374863276806393E-2</c:v>
                </c:pt>
                <c:pt idx="6">
                  <c:v>9.4493883137619195E-2</c:v>
                </c:pt>
                <c:pt idx="7">
                  <c:v>9.3527895334279604E-2</c:v>
                </c:pt>
                <c:pt idx="8">
                  <c:v>9.1103909764815125E-2</c:v>
                </c:pt>
                <c:pt idx="9">
                  <c:v>9.2509791724131374E-2</c:v>
                </c:pt>
                <c:pt idx="10">
                  <c:v>8.9860098654564832E-2</c:v>
                </c:pt>
                <c:pt idx="11">
                  <c:v>9.203798341285388E-2</c:v>
                </c:pt>
                <c:pt idx="12">
                  <c:v>9.2367689773451139E-2</c:v>
                </c:pt>
                <c:pt idx="13">
                  <c:v>9.2656234310767666E-2</c:v>
                </c:pt>
                <c:pt idx="14">
                  <c:v>9.2970216443932815E-2</c:v>
                </c:pt>
                <c:pt idx="15">
                  <c:v>9.3317003106778706E-2</c:v>
                </c:pt>
                <c:pt idx="16">
                  <c:v>9.3658543827133678E-2</c:v>
                </c:pt>
                <c:pt idx="17">
                  <c:v>9.4003974052246558E-2</c:v>
                </c:pt>
                <c:pt idx="18">
                  <c:v>9.4345302548732968E-2</c:v>
                </c:pt>
                <c:pt idx="19">
                  <c:v>9.4691345100761271E-2</c:v>
                </c:pt>
                <c:pt idx="20">
                  <c:v>9.5034554387749173E-2</c:v>
                </c:pt>
                <c:pt idx="21">
                  <c:v>9.538147984175939E-2</c:v>
                </c:pt>
                <c:pt idx="22">
                  <c:v>9.5731128298332649E-2</c:v>
                </c:pt>
                <c:pt idx="23">
                  <c:v>9.6084491576205897E-2</c:v>
                </c:pt>
                <c:pt idx="24">
                  <c:v>9.6438519661677935E-2</c:v>
                </c:pt>
                <c:pt idx="25">
                  <c:v>9.6791778755125096E-2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8.4223205133026668E-2</c:v>
                </c:pt>
                <c:pt idx="1">
                  <c:v>8.85327277461158E-2</c:v>
                </c:pt>
                <c:pt idx="2">
                  <c:v>9.0310513676560608E-2</c:v>
                </c:pt>
                <c:pt idx="3">
                  <c:v>8.7706348828915023E-2</c:v>
                </c:pt>
                <c:pt idx="4">
                  <c:v>8.6000829397859552E-2</c:v>
                </c:pt>
                <c:pt idx="5">
                  <c:v>8.555625148645879E-2</c:v>
                </c:pt>
                <c:pt idx="6">
                  <c:v>8.485449278417255E-2</c:v>
                </c:pt>
                <c:pt idx="7">
                  <c:v>8.3182210070325918E-2</c:v>
                </c:pt>
                <c:pt idx="8">
                  <c:v>8.1784269134784843E-2</c:v>
                </c:pt>
                <c:pt idx="9">
                  <c:v>7.914080289441984E-2</c:v>
                </c:pt>
                <c:pt idx="10">
                  <c:v>7.9114484901403881E-2</c:v>
                </c:pt>
                <c:pt idx="11">
                  <c:v>7.83681991584044E-2</c:v>
                </c:pt>
                <c:pt idx="12">
                  <c:v>7.8127050343265447E-2</c:v>
                </c:pt>
                <c:pt idx="13">
                  <c:v>7.7861635721819686E-2</c:v>
                </c:pt>
                <c:pt idx="14">
                  <c:v>7.7605277868910805E-2</c:v>
                </c:pt>
                <c:pt idx="15">
                  <c:v>7.7358457405174899E-2</c:v>
                </c:pt>
                <c:pt idx="16">
                  <c:v>7.7098575061043798E-2</c:v>
                </c:pt>
                <c:pt idx="17">
                  <c:v>7.6835467755739476E-2</c:v>
                </c:pt>
                <c:pt idx="18">
                  <c:v>7.6562142032310307E-2</c:v>
                </c:pt>
                <c:pt idx="19">
                  <c:v>7.6284787618904795E-2</c:v>
                </c:pt>
                <c:pt idx="20">
                  <c:v>7.59894369920288E-2</c:v>
                </c:pt>
                <c:pt idx="21">
                  <c:v>7.5693605588979626E-2</c:v>
                </c:pt>
                <c:pt idx="22">
                  <c:v>7.5397219406995827E-2</c:v>
                </c:pt>
                <c:pt idx="23">
                  <c:v>7.5096151098886788E-2</c:v>
                </c:pt>
                <c:pt idx="24">
                  <c:v>7.4792049744172431E-2</c:v>
                </c:pt>
                <c:pt idx="25">
                  <c:v>7.4486701231952834E-2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6.4281958031333714E-2</c:v>
                </c:pt>
                <c:pt idx="1">
                  <c:v>6.2876904997797758E-2</c:v>
                </c:pt>
                <c:pt idx="2">
                  <c:v>6.1641739732701269E-2</c:v>
                </c:pt>
                <c:pt idx="3">
                  <c:v>6.1792054929663387E-2</c:v>
                </c:pt>
                <c:pt idx="4">
                  <c:v>6.1990847674748141E-2</c:v>
                </c:pt>
                <c:pt idx="5">
                  <c:v>6.1673474892747722E-2</c:v>
                </c:pt>
                <c:pt idx="6">
                  <c:v>6.3190616951896636E-2</c:v>
                </c:pt>
                <c:pt idx="7">
                  <c:v>6.2995975549371613E-2</c:v>
                </c:pt>
                <c:pt idx="8">
                  <c:v>6.3954045030751999E-2</c:v>
                </c:pt>
                <c:pt idx="9">
                  <c:v>6.191251921004913E-2</c:v>
                </c:pt>
                <c:pt idx="10">
                  <c:v>5.5664946463921616E-2</c:v>
                </c:pt>
                <c:pt idx="11">
                  <c:v>6.1953260399452509E-2</c:v>
                </c:pt>
                <c:pt idx="12">
                  <c:v>6.1640631091637504E-2</c:v>
                </c:pt>
                <c:pt idx="13">
                  <c:v>6.1354368785707263E-2</c:v>
                </c:pt>
                <c:pt idx="14">
                  <c:v>6.1049997096466101E-2</c:v>
                </c:pt>
                <c:pt idx="15">
                  <c:v>6.0736376998900568E-2</c:v>
                </c:pt>
                <c:pt idx="16">
                  <c:v>6.0429297053086806E-2</c:v>
                </c:pt>
                <c:pt idx="17">
                  <c:v>6.0119888624555182E-2</c:v>
                </c:pt>
                <c:pt idx="18">
                  <c:v>5.9814336458641738E-2</c:v>
                </c:pt>
                <c:pt idx="19">
                  <c:v>5.9511167460448197E-2</c:v>
                </c:pt>
                <c:pt idx="20">
                  <c:v>5.9214381321716907E-2</c:v>
                </c:pt>
                <c:pt idx="21">
                  <c:v>5.8919654968894959E-2</c:v>
                </c:pt>
                <c:pt idx="22">
                  <c:v>5.8625723178491573E-2</c:v>
                </c:pt>
                <c:pt idx="23">
                  <c:v>5.8333871348438177E-2</c:v>
                </c:pt>
                <c:pt idx="24">
                  <c:v>5.804085305571112E-2</c:v>
                </c:pt>
                <c:pt idx="25">
                  <c:v>5.7751232151242851E-2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0.1199331449120513</c:v>
                </c:pt>
                <c:pt idx="1">
                  <c:v>0.1160537864010116</c:v>
                </c:pt>
                <c:pt idx="2">
                  <c:v>0.11426488635960302</c:v>
                </c:pt>
                <c:pt idx="3">
                  <c:v>0.11401334803659863</c:v>
                </c:pt>
                <c:pt idx="4">
                  <c:v>0.11506036675510449</c:v>
                </c:pt>
                <c:pt idx="5">
                  <c:v>0.11523494355751694</c:v>
                </c:pt>
                <c:pt idx="6">
                  <c:v>0.11284076958465458</c:v>
                </c:pt>
                <c:pt idx="7">
                  <c:v>0.11047523515275658</c:v>
                </c:pt>
                <c:pt idx="8">
                  <c:v>0.10980045268490159</c:v>
                </c:pt>
                <c:pt idx="9">
                  <c:v>0.10890241065677955</c:v>
                </c:pt>
                <c:pt idx="10">
                  <c:v>0.10052053064167842</c:v>
                </c:pt>
                <c:pt idx="11">
                  <c:v>0.10072580411122876</c:v>
                </c:pt>
                <c:pt idx="12">
                  <c:v>0.10002890172274502</c:v>
                </c:pt>
                <c:pt idx="13">
                  <c:v>9.9313250262076519E-2</c:v>
                </c:pt>
                <c:pt idx="14">
                  <c:v>9.8589391787038891E-2</c:v>
                </c:pt>
                <c:pt idx="15">
                  <c:v>9.7864923004963425E-2</c:v>
                </c:pt>
                <c:pt idx="16">
                  <c:v>9.7129898464429099E-2</c:v>
                </c:pt>
                <c:pt idx="17">
                  <c:v>9.6390856288834939E-2</c:v>
                </c:pt>
                <c:pt idx="18">
                  <c:v>9.5659725046241526E-2</c:v>
                </c:pt>
                <c:pt idx="19">
                  <c:v>9.4936770804605053E-2</c:v>
                </c:pt>
                <c:pt idx="20">
                  <c:v>9.4223428558823236E-2</c:v>
                </c:pt>
                <c:pt idx="21">
                  <c:v>9.3506652553945371E-2</c:v>
                </c:pt>
                <c:pt idx="22">
                  <c:v>9.278639398683089E-2</c:v>
                </c:pt>
                <c:pt idx="23">
                  <c:v>9.2070800755488375E-2</c:v>
                </c:pt>
                <c:pt idx="24">
                  <c:v>9.1358034723765039E-2</c:v>
                </c:pt>
                <c:pt idx="25">
                  <c:v>9.0648331899218851E-2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418.83273656857364</c:v>
                </c:pt>
                <c:pt idx="1">
                  <c:v>832.9318320221264</c:v>
                </c:pt>
                <c:pt idx="2">
                  <c:v>293.21103937835869</c:v>
                </c:pt>
                <c:pt idx="3">
                  <c:v>-88.587134656135731</c:v>
                </c:pt>
                <c:pt idx="4">
                  <c:v>-38.919501869974283</c:v>
                </c:pt>
                <c:pt idx="5">
                  <c:v>108.49918964433255</c:v>
                </c:pt>
                <c:pt idx="6">
                  <c:v>-60.652574215102049</c:v>
                </c:pt>
                <c:pt idx="7">
                  <c:v>103.22237952410114</c:v>
                </c:pt>
                <c:pt idx="8">
                  <c:v>-11.949966400185986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56.175361813276595</c:v>
                </c:pt>
                <c:pt idx="1">
                  <c:v>296.7324327110764</c:v>
                </c:pt>
                <c:pt idx="2">
                  <c:v>186.03571488631587</c:v>
                </c:pt>
                <c:pt idx="3">
                  <c:v>86.123711684230784</c:v>
                </c:pt>
                <c:pt idx="4">
                  <c:v>-340.49320683841006</c:v>
                </c:pt>
                <c:pt idx="5">
                  <c:v>-111.78225455721122</c:v>
                </c:pt>
                <c:pt idx="6">
                  <c:v>-28.728802421082946</c:v>
                </c:pt>
                <c:pt idx="7">
                  <c:v>-208.41053959372312</c:v>
                </c:pt>
                <c:pt idx="8">
                  <c:v>-288.73141768331152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103.70494790056819</c:v>
                </c:pt>
                <c:pt idx="1">
                  <c:v>574.93221747693497</c:v>
                </c:pt>
                <c:pt idx="2">
                  <c:v>-67.115301105437993</c:v>
                </c:pt>
                <c:pt idx="3">
                  <c:v>-178.06234065907165</c:v>
                </c:pt>
                <c:pt idx="4">
                  <c:v>43.959369771858746</c:v>
                </c:pt>
                <c:pt idx="5">
                  <c:v>186.74703421174263</c:v>
                </c:pt>
                <c:pt idx="6">
                  <c:v>16.806581530819585</c:v>
                </c:pt>
                <c:pt idx="7">
                  <c:v>205.79442474029088</c:v>
                </c:pt>
                <c:pt idx="8">
                  <c:v>8.3000661472897264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395.4936928765128</c:v>
                </c:pt>
                <c:pt idx="1">
                  <c:v>794.84360518071298</c:v>
                </c:pt>
                <c:pt idx="2">
                  <c:v>308.67086261937357</c:v>
                </c:pt>
                <c:pt idx="3">
                  <c:v>-248.84594093242049</c:v>
                </c:pt>
                <c:pt idx="4">
                  <c:v>-60.099390817227231</c:v>
                </c:pt>
                <c:pt idx="5">
                  <c:v>234.18023806349083</c:v>
                </c:pt>
                <c:pt idx="6">
                  <c:v>9.6554236327947365</c:v>
                </c:pt>
                <c:pt idx="7">
                  <c:v>-15.844698582371166</c:v>
                </c:pt>
                <c:pt idx="8">
                  <c:v>-102.71079205198157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900"/>
          <c:min val="-9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499.19864077708098</c:v>
                </c:pt>
                <c:pt idx="1">
                  <c:v>1369.775822657648</c:v>
                </c:pt>
                <c:pt idx="2">
                  <c:v>241.55556151393557</c:v>
                </c:pt>
                <c:pt idx="3">
                  <c:v>-426.90828159149214</c:v>
                </c:pt>
                <c:pt idx="4">
                  <c:v>-16.140021045368485</c:v>
                </c:pt>
                <c:pt idx="5">
                  <c:v>420.92727227523346</c:v>
                </c:pt>
                <c:pt idx="6">
                  <c:v>26.462005163614322</c:v>
                </c:pt>
                <c:pt idx="7">
                  <c:v>189.94972615791971</c:v>
                </c:pt>
                <c:pt idx="8">
                  <c:v>-94.410725904691844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297.38193582800363</c:v>
                </c:pt>
                <c:pt idx="1">
                  <c:v>780.32045860137259</c:v>
                </c:pt>
                <c:pt idx="2">
                  <c:v>285.23671175590016</c:v>
                </c:pt>
                <c:pt idx="3">
                  <c:v>-470.87388352036055</c:v>
                </c:pt>
                <c:pt idx="4">
                  <c:v>77.388078225357731</c:v>
                </c:pt>
                <c:pt idx="5">
                  <c:v>263.22401678982851</c:v>
                </c:pt>
                <c:pt idx="6">
                  <c:v>-41.519260923452066</c:v>
                </c:pt>
                <c:pt idx="7">
                  <c:v>81.11998480796467</c:v>
                </c:pt>
                <c:pt idx="8">
                  <c:v>-65.859041560736159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201.81670494908212</c:v>
                </c:pt>
                <c:pt idx="1">
                  <c:v>589.45536405626444</c:v>
                </c:pt>
                <c:pt idx="2">
                  <c:v>-43.681150241965042</c:v>
                </c:pt>
                <c:pt idx="3">
                  <c:v>43.965601928876708</c:v>
                </c:pt>
                <c:pt idx="4">
                  <c:v>-93.528099270730308</c:v>
                </c:pt>
                <c:pt idx="5">
                  <c:v>157.70325548540598</c:v>
                </c:pt>
                <c:pt idx="6">
                  <c:v>67.981266087068434</c:v>
                </c:pt>
                <c:pt idx="7">
                  <c:v>108.82974134995766</c:v>
                </c:pt>
                <c:pt idx="8">
                  <c:v>-28.551684343962506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90.394096511423641</c:v>
                </c:pt>
                <c:pt idx="1">
                  <c:v>7.8658619320549406E-2</c:v>
                </c:pt>
                <c:pt idx="2">
                  <c:v>33.881473512591697</c:v>
                </c:pt>
                <c:pt idx="3">
                  <c:v>2.2381763267516703</c:v>
                </c:pt>
                <c:pt idx="4">
                  <c:v>97.489141258605741</c:v>
                </c:pt>
                <c:pt idx="5">
                  <c:v>58.925927002451488</c:v>
                </c:pt>
                <c:pt idx="6">
                  <c:v>-14.945433086038037</c:v>
                </c:pt>
                <c:pt idx="7">
                  <c:v>72.171198361390907</c:v>
                </c:pt>
                <c:pt idx="8">
                  <c:v>67.199761503578827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121.83530785268783</c:v>
                </c:pt>
                <c:pt idx="1">
                  <c:v>324.62942021163803</c:v>
                </c:pt>
                <c:pt idx="2">
                  <c:v>65.125050499597705</c:v>
                </c:pt>
                <c:pt idx="3">
                  <c:v>-177.80257269612753</c:v>
                </c:pt>
                <c:pt idx="4">
                  <c:v>41.998474393856497</c:v>
                </c:pt>
                <c:pt idx="5">
                  <c:v>100.63250392541613</c:v>
                </c:pt>
                <c:pt idx="6">
                  <c:v>22.46622720199025</c:v>
                </c:pt>
                <c:pt idx="7">
                  <c:v>93.035887399920512</c:v>
                </c:pt>
                <c:pt idx="8">
                  <c:v>-140.77629881764619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286.96923641297553</c:v>
                </c:pt>
                <c:pt idx="1">
                  <c:v>1045.0677438266912</c:v>
                </c:pt>
                <c:pt idx="2">
                  <c:v>142.54903750174117</c:v>
                </c:pt>
                <c:pt idx="3">
                  <c:v>-251.34388522210588</c:v>
                </c:pt>
                <c:pt idx="4">
                  <c:v>-155.6276366978318</c:v>
                </c:pt>
                <c:pt idx="5">
                  <c:v>261.36884134736579</c:v>
                </c:pt>
                <c:pt idx="6">
                  <c:v>18.94121104766225</c:v>
                </c:pt>
                <c:pt idx="7">
                  <c:v>24.742640396609886</c:v>
                </c:pt>
                <c:pt idx="8">
                  <c:v>-20.83418859063454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25.14609341552972</c:v>
                </c:pt>
                <c:pt idx="1">
                  <c:v>24.980835600143223</c:v>
                </c:pt>
                <c:pt idx="2">
                  <c:v>29.286910350284813</c:v>
                </c:pt>
                <c:pt idx="3">
                  <c:v>-9.7445095908636858</c:v>
                </c:pt>
                <c:pt idx="4">
                  <c:v>30.071530312864013</c:v>
                </c:pt>
                <c:pt idx="5">
                  <c:v>36.049068346477384</c:v>
                </c:pt>
                <c:pt idx="6">
                  <c:v>-7.3106952454441583</c:v>
                </c:pt>
                <c:pt idx="7">
                  <c:v>8.968708941345767</c:v>
                </c:pt>
                <c:pt idx="8">
                  <c:v>25.063057880827571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63.901910787571353</c:v>
                </c:pt>
                <c:pt idx="1">
                  <c:v>209.58188865327713</c:v>
                </c:pt>
                <c:pt idx="2">
                  <c:v>80.028046064458294</c:v>
                </c:pt>
                <c:pt idx="3">
                  <c:v>-169.98141157059194</c:v>
                </c:pt>
                <c:pt idx="4">
                  <c:v>15.365675192330755</c:v>
                </c:pt>
                <c:pt idx="5">
                  <c:v>61.239014880872332</c:v>
                </c:pt>
                <c:pt idx="6">
                  <c:v>-9.460431781232387</c:v>
                </c:pt>
                <c:pt idx="7">
                  <c:v>49.208738592231242</c:v>
                </c:pt>
                <c:pt idx="8">
                  <c:v>-128.66043084717762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208.33393162490245</c:v>
                </c:pt>
                <c:pt idx="1">
                  <c:v>545.75773434794928</c:v>
                </c:pt>
                <c:pt idx="2">
                  <c:v>175.92175534115563</c:v>
                </c:pt>
                <c:pt idx="3">
                  <c:v>-291.14796235890776</c:v>
                </c:pt>
                <c:pt idx="4">
                  <c:v>31.95087272016309</c:v>
                </c:pt>
                <c:pt idx="5">
                  <c:v>165.93593356247732</c:v>
                </c:pt>
                <c:pt idx="6">
                  <c:v>-24.748133896776039</c:v>
                </c:pt>
                <c:pt idx="7">
                  <c:v>22.942537274387519</c:v>
                </c:pt>
                <c:pt idx="8">
                  <c:v>37.738331405616066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65.248003095894148</c:v>
                </c:pt>
                <c:pt idx="1">
                  <c:v>-24.902176980822389</c:v>
                </c:pt>
                <c:pt idx="2">
                  <c:v>4.5945631623076792</c:v>
                </c:pt>
                <c:pt idx="3">
                  <c:v>11.982685917615395</c:v>
                </c:pt>
                <c:pt idx="4">
                  <c:v>67.417610945742467</c:v>
                </c:pt>
                <c:pt idx="5">
                  <c:v>22.876858655974296</c:v>
                </c:pt>
                <c:pt idx="6">
                  <c:v>-7.6347378405938571</c:v>
                </c:pt>
                <c:pt idx="7">
                  <c:v>63.202489420045197</c:v>
                </c:pt>
                <c:pt idx="8">
                  <c:v>42.13670362275127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57.933397065116907</c:v>
                </c:pt>
                <c:pt idx="1">
                  <c:v>115.0475315583609</c:v>
                </c:pt>
                <c:pt idx="2">
                  <c:v>-14.902995564860277</c:v>
                </c:pt>
                <c:pt idx="3">
                  <c:v>-7.8211611255371736</c:v>
                </c:pt>
                <c:pt idx="4">
                  <c:v>26.632799201525671</c:v>
                </c:pt>
                <c:pt idx="5">
                  <c:v>39.393489044543884</c:v>
                </c:pt>
                <c:pt idx="6">
                  <c:v>31.926658983223433</c:v>
                </c:pt>
                <c:pt idx="7">
                  <c:v>43.827148807689383</c:v>
                </c:pt>
                <c:pt idx="8">
                  <c:v>-12.115867970466297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78.635304788076155</c:v>
                </c:pt>
                <c:pt idx="1">
                  <c:v>499.31000947873599</c:v>
                </c:pt>
                <c:pt idx="2">
                  <c:v>-33.372717839411962</c:v>
                </c:pt>
                <c:pt idx="3">
                  <c:v>39.804077136800174</c:v>
                </c:pt>
                <c:pt idx="4">
                  <c:v>-187.57850941799779</c:v>
                </c:pt>
                <c:pt idx="5">
                  <c:v>95.432907784888471</c:v>
                </c:pt>
                <c:pt idx="6">
                  <c:v>43.68934494443829</c:v>
                </c:pt>
                <c:pt idx="7">
                  <c:v>1.8001031222231632</c:v>
                </c:pt>
                <c:pt idx="8">
                  <c:v>-58.572519996249525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1702.0331109149663</c:v>
                </c:pt>
                <c:pt idx="1">
                  <c:v>1655.5781152901332</c:v>
                </c:pt>
                <c:pt idx="2">
                  <c:v>1572.8390264205864</c:v>
                </c:pt>
                <c:pt idx="3">
                  <c:v>1556.8165204729594</c:v>
                </c:pt>
                <c:pt idx="4">
                  <c:v>1439.3135271229035</c:v>
                </c:pt>
                <c:pt idx="5">
                  <c:v>1486.5551957958019</c:v>
                </c:pt>
                <c:pt idx="6">
                  <c:v>1355.6873898979416</c:v>
                </c:pt>
                <c:pt idx="7">
                  <c:v>1371.1009609128334</c:v>
                </c:pt>
                <c:pt idx="8">
                  <c:v>1340.7294376486875</c:v>
                </c:pt>
                <c:pt idx="9">
                  <c:v>1334.4322674854236</c:v>
                </c:pt>
                <c:pt idx="10">
                  <c:v>1139.2997279306737</c:v>
                </c:pt>
                <c:pt idx="11">
                  <c:v>1159.940914786182</c:v>
                </c:pt>
                <c:pt idx="12">
                  <c:v>1078.4626013053316</c:v>
                </c:pt>
                <c:pt idx="13">
                  <c:v>1022.6650086375155</c:v>
                </c:pt>
                <c:pt idx="14">
                  <c:v>967.39642283325838</c:v>
                </c:pt>
                <c:pt idx="15">
                  <c:v>936.86117983903137</c:v>
                </c:pt>
                <c:pt idx="16">
                  <c:v>909.26112734754895</c:v>
                </c:pt>
                <c:pt idx="17">
                  <c:v>881.45097909602498</c:v>
                </c:pt>
                <c:pt idx="18">
                  <c:v>853.82044513722599</c:v>
                </c:pt>
                <c:pt idx="19">
                  <c:v>826.34056328390511</c:v>
                </c:pt>
                <c:pt idx="20">
                  <c:v>799.30152857702967</c:v>
                </c:pt>
                <c:pt idx="21">
                  <c:v>772.32006327136276</c:v>
                </c:pt>
                <c:pt idx="22">
                  <c:v>745.45861033488347</c:v>
                </c:pt>
                <c:pt idx="23">
                  <c:v>718.7289705344682</c:v>
                </c:pt>
                <c:pt idx="24">
                  <c:v>693.76905385966279</c:v>
                </c:pt>
                <c:pt idx="25">
                  <c:v>694.03923533775969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4299.4224123435488</c:v>
                </c:pt>
                <c:pt idx="1">
                  <c:v>4121.354747411162</c:v>
                </c:pt>
                <c:pt idx="2">
                  <c:v>3938.2864331166538</c:v>
                </c:pt>
                <c:pt idx="3">
                  <c:v>3844.951377182615</c:v>
                </c:pt>
                <c:pt idx="4">
                  <c:v>3965.1700118986337</c:v>
                </c:pt>
                <c:pt idx="5">
                  <c:v>3914.3609839876071</c:v>
                </c:pt>
                <c:pt idx="6">
                  <c:v>3874.7574018367695</c:v>
                </c:pt>
                <c:pt idx="7">
                  <c:v>3820.9234838812959</c:v>
                </c:pt>
                <c:pt idx="8">
                  <c:v>3863.9134791191514</c:v>
                </c:pt>
                <c:pt idx="9">
                  <c:v>3791.507433066743</c:v>
                </c:pt>
                <c:pt idx="10">
                  <c:v>3433.3407975165919</c:v>
                </c:pt>
                <c:pt idx="11">
                  <c:v>3365.8472383144931</c:v>
                </c:pt>
                <c:pt idx="12">
                  <c:v>3354.1186519829698</c:v>
                </c:pt>
                <c:pt idx="13">
                  <c:v>3269.2645943546672</c:v>
                </c:pt>
                <c:pt idx="14">
                  <c:v>3184.9429452749014</c:v>
                </c:pt>
                <c:pt idx="15">
                  <c:v>3089.2371506086829</c:v>
                </c:pt>
                <c:pt idx="16">
                  <c:v>2990.0774183303392</c:v>
                </c:pt>
                <c:pt idx="17">
                  <c:v>2888.7883257422486</c:v>
                </c:pt>
                <c:pt idx="18">
                  <c:v>2786.6746158691676</c:v>
                </c:pt>
                <c:pt idx="19">
                  <c:v>2683.6784936009058</c:v>
                </c:pt>
                <c:pt idx="20">
                  <c:v>2580.8115017705295</c:v>
                </c:pt>
                <c:pt idx="21">
                  <c:v>2476.8479739880172</c:v>
                </c:pt>
                <c:pt idx="22">
                  <c:v>2372.0500521952335</c:v>
                </c:pt>
                <c:pt idx="23">
                  <c:v>2266.4680939351706</c:v>
                </c:pt>
                <c:pt idx="24">
                  <c:v>2159.7412763725101</c:v>
                </c:pt>
                <c:pt idx="25">
                  <c:v>2049.7111319639862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5614.7737073058624</c:v>
                </c:pt>
                <c:pt idx="1">
                  <c:v>5731.6055328011407</c:v>
                </c:pt>
                <c:pt idx="2">
                  <c:v>5672.1253127801592</c:v>
                </c:pt>
                <c:pt idx="3">
                  <c:v>5606.6765525968558</c:v>
                </c:pt>
                <c:pt idx="4">
                  <c:v>5717.9252290811482</c:v>
                </c:pt>
                <c:pt idx="5">
                  <c:v>5710.2594647863762</c:v>
                </c:pt>
                <c:pt idx="6">
                  <c:v>5754.3399614225873</c:v>
                </c:pt>
                <c:pt idx="7">
                  <c:v>5778.0327195727277</c:v>
                </c:pt>
                <c:pt idx="8">
                  <c:v>5761.0058164643779</c:v>
                </c:pt>
                <c:pt idx="9">
                  <c:v>5758.7634162135182</c:v>
                </c:pt>
                <c:pt idx="10">
                  <c:v>5330.1618704903021</c:v>
                </c:pt>
                <c:pt idx="11">
                  <c:v>5375.3338954880091</c:v>
                </c:pt>
                <c:pt idx="12">
                  <c:v>5335.0517235469315</c:v>
                </c:pt>
                <c:pt idx="13">
                  <c:v>5272.0320413267036</c:v>
                </c:pt>
                <c:pt idx="14">
                  <c:v>5211.9846646057995</c:v>
                </c:pt>
                <c:pt idx="15">
                  <c:v>5134.446482014815</c:v>
                </c:pt>
                <c:pt idx="16">
                  <c:v>5051.9991499688485</c:v>
                </c:pt>
                <c:pt idx="17">
                  <c:v>4966.9775925418044</c:v>
                </c:pt>
                <c:pt idx="18">
                  <c:v>4881.4527445950616</c:v>
                </c:pt>
                <c:pt idx="19">
                  <c:v>4795.3688622122881</c:v>
                </c:pt>
                <c:pt idx="20">
                  <c:v>4710.4932247566921</c:v>
                </c:pt>
                <c:pt idx="21">
                  <c:v>4624.7283846020027</c:v>
                </c:pt>
                <c:pt idx="22">
                  <c:v>4538.5326177393808</c:v>
                </c:pt>
                <c:pt idx="23">
                  <c:v>4452.0670878190349</c:v>
                </c:pt>
                <c:pt idx="24">
                  <c:v>4364.6689797749386</c:v>
                </c:pt>
                <c:pt idx="25">
                  <c:v>4272.5426973519789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5176.5478075817155</c:v>
                </c:pt>
                <c:pt idx="1">
                  <c:v>5146.2491521045476</c:v>
                </c:pt>
                <c:pt idx="2">
                  <c:v>5396.4145960233054</c:v>
                </c:pt>
                <c:pt idx="3">
                  <c:v>5316.2153223493933</c:v>
                </c:pt>
                <c:pt idx="4">
                  <c:v>5610.6935129540561</c:v>
                </c:pt>
                <c:pt idx="5">
                  <c:v>5639.2616360428665</c:v>
                </c:pt>
                <c:pt idx="6">
                  <c:v>5755.4462883345395</c:v>
                </c:pt>
                <c:pt idx="7">
                  <c:v>5808.9951878718448</c:v>
                </c:pt>
                <c:pt idx="8">
                  <c:v>5785.3725328638056</c:v>
                </c:pt>
                <c:pt idx="9">
                  <c:v>5832.8497135580028</c:v>
                </c:pt>
                <c:pt idx="10">
                  <c:v>5842.7949099002572</c:v>
                </c:pt>
                <c:pt idx="11">
                  <c:v>5646.1692468640476</c:v>
                </c:pt>
                <c:pt idx="12">
                  <c:v>5765.1396618723247</c:v>
                </c:pt>
                <c:pt idx="13">
                  <c:v>5783.6635203498745</c:v>
                </c:pt>
                <c:pt idx="14">
                  <c:v>5806.8852209797678</c:v>
                </c:pt>
                <c:pt idx="15">
                  <c:v>5811.9310878058386</c:v>
                </c:pt>
                <c:pt idx="16">
                  <c:v>5812.4635161771675</c:v>
                </c:pt>
                <c:pt idx="17">
                  <c:v>5811.0199975542364</c:v>
                </c:pt>
                <c:pt idx="18">
                  <c:v>5809.9381751000137</c:v>
                </c:pt>
                <c:pt idx="19">
                  <c:v>5809.1851470508882</c:v>
                </c:pt>
                <c:pt idx="20">
                  <c:v>5810.9477863704697</c:v>
                </c:pt>
                <c:pt idx="21">
                  <c:v>5812.7535122204827</c:v>
                </c:pt>
                <c:pt idx="22">
                  <c:v>5815.1880767681723</c:v>
                </c:pt>
                <c:pt idx="23">
                  <c:v>5818.5118039144827</c:v>
                </c:pt>
                <c:pt idx="24">
                  <c:v>5821.946435730114</c:v>
                </c:pt>
                <c:pt idx="25">
                  <c:v>5820.8764372949108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1337.7813742381975</c:v>
                </c:pt>
                <c:pt idx="1">
                  <c:v>1366.2096281080082</c:v>
                </c:pt>
                <c:pt idx="2">
                  <c:v>1450.2489275019566</c:v>
                </c:pt>
                <c:pt idx="3">
                  <c:v>1483.3850866338123</c:v>
                </c:pt>
                <c:pt idx="4">
                  <c:v>1544.1819476824976</c:v>
                </c:pt>
                <c:pt idx="5">
                  <c:v>1538.7570902922546</c:v>
                </c:pt>
                <c:pt idx="6">
                  <c:v>1574.9342076581552</c:v>
                </c:pt>
                <c:pt idx="7">
                  <c:v>1593.907448676747</c:v>
                </c:pt>
                <c:pt idx="8">
                  <c:v>1586.6920738276017</c:v>
                </c:pt>
                <c:pt idx="9">
                  <c:v>1642.6509417224654</c:v>
                </c:pt>
                <c:pt idx="10">
                  <c:v>1728.4186881347291</c:v>
                </c:pt>
                <c:pt idx="11">
                  <c:v>1761.4601875525088</c:v>
                </c:pt>
                <c:pt idx="12">
                  <c:v>1723.0063356419273</c:v>
                </c:pt>
                <c:pt idx="13">
                  <c:v>1750.3028105020571</c:v>
                </c:pt>
                <c:pt idx="14">
                  <c:v>1778.6757665381106</c:v>
                </c:pt>
                <c:pt idx="15">
                  <c:v>1800.9127886997999</c:v>
                </c:pt>
                <c:pt idx="16">
                  <c:v>1822.7315350810209</c:v>
                </c:pt>
                <c:pt idx="17">
                  <c:v>1844.6631502859238</c:v>
                </c:pt>
                <c:pt idx="18">
                  <c:v>1866.9747464128288</c:v>
                </c:pt>
                <c:pt idx="19">
                  <c:v>1889.5902207914251</c:v>
                </c:pt>
                <c:pt idx="20">
                  <c:v>1913.7645217196425</c:v>
                </c:pt>
                <c:pt idx="21" formatCode="General">
                  <c:v>1938.2052565815263</c:v>
                </c:pt>
                <c:pt idx="22" formatCode="General">
                  <c:v>1963.1901590543273</c:v>
                </c:pt>
                <c:pt idx="23" formatCode="General">
                  <c:v>1989.2024689013758</c:v>
                </c:pt>
                <c:pt idx="24" formatCode="General">
                  <c:v>2015.9514292988713</c:v>
                </c:pt>
                <c:pt idx="25">
                  <c:v>2040.3810684286743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1586.7825100113255</c:v>
                </c:pt>
                <c:pt idx="1">
                  <c:v>1581.1973123132025</c:v>
                </c:pt>
                <c:pt idx="2">
                  <c:v>1626.861834502907</c:v>
                </c:pt>
                <c:pt idx="3">
                  <c:v>1652.4536883945132</c:v>
                </c:pt>
                <c:pt idx="4">
                  <c:v>1673.3476881371769</c:v>
                </c:pt>
                <c:pt idx="5">
                  <c:v>1634.7622700058328</c:v>
                </c:pt>
                <c:pt idx="6">
                  <c:v>1633.8100155683696</c:v>
                </c:pt>
                <c:pt idx="7">
                  <c:v>1637.2711289112337</c:v>
                </c:pt>
                <c:pt idx="8">
                  <c:v>1612.1871333606873</c:v>
                </c:pt>
                <c:pt idx="9">
                  <c:v>1634.5018593060929</c:v>
                </c:pt>
                <c:pt idx="10">
                  <c:v>1705.9419206369128</c:v>
                </c:pt>
                <c:pt idx="11">
                  <c:v>1705.0189991764234</c:v>
                </c:pt>
                <c:pt idx="12">
                  <c:v>1661.8858284749308</c:v>
                </c:pt>
                <c:pt idx="13">
                  <c:v>1675.591380287105</c:v>
                </c:pt>
                <c:pt idx="14">
                  <c:v>1692.2014623085624</c:v>
                </c:pt>
                <c:pt idx="15">
                  <c:v>1703.5284462232416</c:v>
                </c:pt>
                <c:pt idx="16">
                  <c:v>1714.601997366829</c:v>
                </c:pt>
                <c:pt idx="17">
                  <c:v>1726.3726077109382</c:v>
                </c:pt>
                <c:pt idx="18">
                  <c:v>1740.0480492945376</c:v>
                </c:pt>
                <c:pt idx="19">
                  <c:v>1755.5060648087926</c:v>
                </c:pt>
                <c:pt idx="20">
                  <c:v>1772.3025155954597</c:v>
                </c:pt>
                <c:pt idx="21" formatCode="General">
                  <c:v>1790.1743506150431</c:v>
                </c:pt>
                <c:pt idx="22" formatCode="General">
                  <c:v>1809.2612153465659</c:v>
                </c:pt>
                <c:pt idx="23" formatCode="General">
                  <c:v>1829.0603460110044</c:v>
                </c:pt>
                <c:pt idx="24" formatCode="General">
                  <c:v>1849.0379658990123</c:v>
                </c:pt>
                <c:pt idx="25">
                  <c:v>1868.8532961954377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4372.5617107630305</c:v>
                </c:pt>
                <c:pt idx="1">
                  <c:v>4612.6261793400463</c:v>
                </c:pt>
                <c:pt idx="2">
                  <c:v>4984.1203975720491</c:v>
                </c:pt>
                <c:pt idx="3">
                  <c:v>5230.1180480360144</c:v>
                </c:pt>
                <c:pt idx="4">
                  <c:v>5552.1107814229317</c:v>
                </c:pt>
                <c:pt idx="5">
                  <c:v>5584.3807768145707</c:v>
                </c:pt>
                <c:pt idx="6">
                  <c:v>5669.8041895566921</c:v>
                </c:pt>
                <c:pt idx="7">
                  <c:v>5828.2145674073563</c:v>
                </c:pt>
                <c:pt idx="8">
                  <c:v>5885.8422607909206</c:v>
                </c:pt>
                <c:pt idx="9">
                  <c:v>6107.7777430294245</c:v>
                </c:pt>
                <c:pt idx="10">
                  <c:v>6391.7857047961734</c:v>
                </c:pt>
                <c:pt idx="11">
                  <c:v>6563.448344263631</c:v>
                </c:pt>
                <c:pt idx="12">
                  <c:v>6466.2709693221213</c:v>
                </c:pt>
                <c:pt idx="13">
                  <c:v>6577.8073294987807</c:v>
                </c:pt>
                <c:pt idx="14">
                  <c:v>6692.5726063835664</c:v>
                </c:pt>
                <c:pt idx="15">
                  <c:v>6786.353670151364</c:v>
                </c:pt>
                <c:pt idx="16">
                  <c:v>6872.8506414818912</c:v>
                </c:pt>
                <c:pt idx="17">
                  <c:v>6955.2911961405216</c:v>
                </c:pt>
                <c:pt idx="18">
                  <c:v>7036.1565562817741</c:v>
                </c:pt>
                <c:pt idx="19">
                  <c:v>7115.8017552581314</c:v>
                </c:pt>
                <c:pt idx="20">
                  <c:v>7197.4751492322748</c:v>
                </c:pt>
                <c:pt idx="21" formatCode="General">
                  <c:v>7278.4243693172157</c:v>
                </c:pt>
                <c:pt idx="22" formatCode="General">
                  <c:v>7359.3685115161625</c:v>
                </c:pt>
                <c:pt idx="23" formatCode="General">
                  <c:v>7440.8739668848284</c:v>
                </c:pt>
                <c:pt idx="24" formatCode="General">
                  <c:v>7522.5028208970998</c:v>
                </c:pt>
                <c:pt idx="25" formatCode="General">
                  <c:v>7600.0146035431453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2083.335400291694</c:v>
                </c:pt>
                <c:pt idx="1">
                  <c:v>1994.7773838239891</c:v>
                </c:pt>
                <c:pt idx="2">
                  <c:v>2069.1596124927764</c:v>
                </c:pt>
                <c:pt idx="3">
                  <c:v>2165.9854077016334</c:v>
                </c:pt>
                <c:pt idx="4">
                  <c:v>2381.9020884923284</c:v>
                </c:pt>
                <c:pt idx="5">
                  <c:v>2754.1142531476803</c:v>
                </c:pt>
                <c:pt idx="6">
                  <c:v>3201.4171963419099</c:v>
                </c:pt>
                <c:pt idx="7">
                  <c:v>3261.3467888964301</c:v>
                </c:pt>
                <c:pt idx="8">
                  <c:v>3380.9957730962628</c:v>
                </c:pt>
                <c:pt idx="9">
                  <c:v>3602.5037901916585</c:v>
                </c:pt>
                <c:pt idx="10">
                  <c:v>3765.2895086273265</c:v>
                </c:pt>
                <c:pt idx="11">
                  <c:v>3880.0005402173656</c:v>
                </c:pt>
                <c:pt idx="12">
                  <c:v>4181.6766493904233</c:v>
                </c:pt>
                <c:pt idx="13">
                  <c:v>4397.6890846726328</c:v>
                </c:pt>
                <c:pt idx="14">
                  <c:v>4616.944697078372</c:v>
                </c:pt>
                <c:pt idx="15">
                  <c:v>4821.6227812757252</c:v>
                </c:pt>
                <c:pt idx="16">
                  <c:v>5022.2768915977913</c:v>
                </c:pt>
                <c:pt idx="17">
                  <c:v>5220.6271853848611</c:v>
                </c:pt>
                <c:pt idx="18">
                  <c:v>5418.3495787903457</c:v>
                </c:pt>
                <c:pt idx="19">
                  <c:v>5615.4680935448378</c:v>
                </c:pt>
                <c:pt idx="20">
                  <c:v>5813.9077874228396</c:v>
                </c:pt>
                <c:pt idx="21" formatCode="General">
                  <c:v>6011.3093211772211</c:v>
                </c:pt>
                <c:pt idx="22" formatCode="General">
                  <c:v>6208.1153104588675</c:v>
                </c:pt>
                <c:pt idx="23" formatCode="General">
                  <c:v>6404.494139971358</c:v>
                </c:pt>
                <c:pt idx="24" formatCode="General">
                  <c:v>6599.4358730895319</c:v>
                </c:pt>
                <c:pt idx="25" formatCode="General">
                  <c:v>6789.3769020925147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298.02296654885242</c:v>
                </c:pt>
                <c:pt idx="1">
                  <c:v>286.00094880658258</c:v>
                </c:pt>
                <c:pt idx="2">
                  <c:v>294.38285958991185</c:v>
                </c:pt>
                <c:pt idx="3">
                  <c:v>310.52899663042621</c:v>
                </c:pt>
                <c:pt idx="4">
                  <c:v>342.72621320522273</c:v>
                </c:pt>
                <c:pt idx="5">
                  <c:v>393.72032912482803</c:v>
                </c:pt>
                <c:pt idx="6">
                  <c:v>451.19334937865506</c:v>
                </c:pt>
                <c:pt idx="7">
                  <c:v>460.59471386481113</c:v>
                </c:pt>
                <c:pt idx="8">
                  <c:v>477.28649282427062</c:v>
                </c:pt>
                <c:pt idx="9">
                  <c:v>507.77283542055346</c:v>
                </c:pt>
                <c:pt idx="10">
                  <c:v>522.64787196202724</c:v>
                </c:pt>
                <c:pt idx="11">
                  <c:v>543.89963333412709</c:v>
                </c:pt>
                <c:pt idx="12">
                  <c:v>583.55857846366393</c:v>
                </c:pt>
                <c:pt idx="13">
                  <c:v>612.62423037049075</c:v>
                </c:pt>
                <c:pt idx="14">
                  <c:v>642.19821399752482</c:v>
                </c:pt>
                <c:pt idx="15">
                  <c:v>669.85441339156375</c:v>
                </c:pt>
                <c:pt idx="16">
                  <c:v>696.92472265863819</c:v>
                </c:pt>
                <c:pt idx="17">
                  <c:v>723.72296555397668</c:v>
                </c:pt>
                <c:pt idx="18">
                  <c:v>750.40508852815412</c:v>
                </c:pt>
                <c:pt idx="19">
                  <c:v>776.8847994602072</c:v>
                </c:pt>
                <c:pt idx="20">
                  <c:v>803.52198456787437</c:v>
                </c:pt>
                <c:pt idx="21" formatCode="General">
                  <c:v>829.98576823715348</c:v>
                </c:pt>
                <c:pt idx="22" formatCode="General">
                  <c:v>856.36344659826341</c:v>
                </c:pt>
                <c:pt idx="23" formatCode="General">
                  <c:v>882.56812204135997</c:v>
                </c:pt>
                <c:pt idx="24" formatCode="General">
                  <c:v>908.74316508922925</c:v>
                </c:pt>
                <c:pt idx="25" formatCode="General">
                  <c:v>934.29562779049672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1702.0331109149663</c:v>
                </c:pt>
                <c:pt idx="1">
                  <c:v>1655.5781152901332</c:v>
                </c:pt>
                <c:pt idx="2">
                  <c:v>1572.8390264205864</c:v>
                </c:pt>
                <c:pt idx="3">
                  <c:v>1556.8165204729594</c:v>
                </c:pt>
                <c:pt idx="4">
                  <c:v>1439.3135271229035</c:v>
                </c:pt>
                <c:pt idx="5">
                  <c:v>1486.5551957958019</c:v>
                </c:pt>
                <c:pt idx="6">
                  <c:v>1355.6873898979416</c:v>
                </c:pt>
                <c:pt idx="7">
                  <c:v>1371.1009609128334</c:v>
                </c:pt>
                <c:pt idx="8">
                  <c:v>1340.7294376486875</c:v>
                </c:pt>
                <c:pt idx="9">
                  <c:v>1334.4322674854236</c:v>
                </c:pt>
                <c:pt idx="10">
                  <c:v>1139.2997279306737</c:v>
                </c:pt>
                <c:pt idx="11">
                  <c:v>1159.940914786182</c:v>
                </c:pt>
                <c:pt idx="12">
                  <c:v>1078.4626013053316</c:v>
                </c:pt>
                <c:pt idx="13">
                  <c:v>1022.6650086375155</c:v>
                </c:pt>
                <c:pt idx="14">
                  <c:v>967.39642283325838</c:v>
                </c:pt>
                <c:pt idx="15">
                  <c:v>936.86117983903137</c:v>
                </c:pt>
                <c:pt idx="16">
                  <c:v>909.26112734754895</c:v>
                </c:pt>
                <c:pt idx="17">
                  <c:v>881.45097909602498</c:v>
                </c:pt>
                <c:pt idx="18">
                  <c:v>853.82044513722599</c:v>
                </c:pt>
                <c:pt idx="19">
                  <c:v>826.34056328390511</c:v>
                </c:pt>
                <c:pt idx="20">
                  <c:v>799.30152857702967</c:v>
                </c:pt>
                <c:pt idx="21">
                  <c:v>772.32006327136276</c:v>
                </c:pt>
                <c:pt idx="22">
                  <c:v>745.45861033488347</c:v>
                </c:pt>
                <c:pt idx="23">
                  <c:v>718.7289705344682</c:v>
                </c:pt>
                <c:pt idx="24">
                  <c:v>693.76905385966279</c:v>
                </c:pt>
                <c:pt idx="25">
                  <c:v>694.03923533775969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4299.4224123435488</c:v>
                </c:pt>
                <c:pt idx="1">
                  <c:v>4121.354747411162</c:v>
                </c:pt>
                <c:pt idx="2">
                  <c:v>3938.2864331166538</c:v>
                </c:pt>
                <c:pt idx="3">
                  <c:v>3844.951377182615</c:v>
                </c:pt>
                <c:pt idx="4">
                  <c:v>3965.1700118986337</c:v>
                </c:pt>
                <c:pt idx="5">
                  <c:v>3914.3609839876071</c:v>
                </c:pt>
                <c:pt idx="6">
                  <c:v>3874.7574018367695</c:v>
                </c:pt>
                <c:pt idx="7">
                  <c:v>3820.9234838812959</c:v>
                </c:pt>
                <c:pt idx="8">
                  <c:v>3863.9134791191514</c:v>
                </c:pt>
                <c:pt idx="9">
                  <c:v>3791.507433066743</c:v>
                </c:pt>
                <c:pt idx="10">
                  <c:v>3433.3407975165919</c:v>
                </c:pt>
                <c:pt idx="11">
                  <c:v>3365.8472383144931</c:v>
                </c:pt>
                <c:pt idx="12">
                  <c:v>3354.1186519829698</c:v>
                </c:pt>
                <c:pt idx="13">
                  <c:v>3269.2645943546672</c:v>
                </c:pt>
                <c:pt idx="14">
                  <c:v>3184.9429452749014</c:v>
                </c:pt>
                <c:pt idx="15">
                  <c:v>3089.2371506086829</c:v>
                </c:pt>
                <c:pt idx="16">
                  <c:v>2990.0774183303392</c:v>
                </c:pt>
                <c:pt idx="17">
                  <c:v>2888.7883257422486</c:v>
                </c:pt>
                <c:pt idx="18">
                  <c:v>2786.6746158691676</c:v>
                </c:pt>
                <c:pt idx="19">
                  <c:v>2683.6784936009058</c:v>
                </c:pt>
                <c:pt idx="20">
                  <c:v>2580.8115017705295</c:v>
                </c:pt>
                <c:pt idx="21">
                  <c:v>2476.8479739880172</c:v>
                </c:pt>
                <c:pt idx="22">
                  <c:v>2372.0500521952335</c:v>
                </c:pt>
                <c:pt idx="23">
                  <c:v>2266.4680939351706</c:v>
                </c:pt>
                <c:pt idx="24">
                  <c:v>2159.7412763725101</c:v>
                </c:pt>
                <c:pt idx="25">
                  <c:v>2049.7111319639862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5614.7737073058624</c:v>
                </c:pt>
                <c:pt idx="1">
                  <c:v>5731.6055328011407</c:v>
                </c:pt>
                <c:pt idx="2">
                  <c:v>5672.1253127801592</c:v>
                </c:pt>
                <c:pt idx="3">
                  <c:v>5606.6765525968558</c:v>
                </c:pt>
                <c:pt idx="4">
                  <c:v>5717.9252290811482</c:v>
                </c:pt>
                <c:pt idx="5">
                  <c:v>5710.2594647863762</c:v>
                </c:pt>
                <c:pt idx="6">
                  <c:v>5754.3399614225873</c:v>
                </c:pt>
                <c:pt idx="7">
                  <c:v>5778.0327195727277</c:v>
                </c:pt>
                <c:pt idx="8">
                  <c:v>5761.0058164643779</c:v>
                </c:pt>
                <c:pt idx="9">
                  <c:v>5758.7634162135182</c:v>
                </c:pt>
                <c:pt idx="10">
                  <c:v>5330.1618704903021</c:v>
                </c:pt>
                <c:pt idx="11">
                  <c:v>5375.3338954880091</c:v>
                </c:pt>
                <c:pt idx="12">
                  <c:v>5335.0517235469315</c:v>
                </c:pt>
                <c:pt idx="13">
                  <c:v>5272.0320413267036</c:v>
                </c:pt>
                <c:pt idx="14">
                  <c:v>5211.9846646057995</c:v>
                </c:pt>
                <c:pt idx="15">
                  <c:v>5134.446482014815</c:v>
                </c:pt>
                <c:pt idx="16">
                  <c:v>5051.9991499688485</c:v>
                </c:pt>
                <c:pt idx="17">
                  <c:v>4966.9775925418044</c:v>
                </c:pt>
                <c:pt idx="18">
                  <c:v>4881.4527445950616</c:v>
                </c:pt>
                <c:pt idx="19">
                  <c:v>4795.3688622122881</c:v>
                </c:pt>
                <c:pt idx="20">
                  <c:v>4710.4932247566921</c:v>
                </c:pt>
                <c:pt idx="21">
                  <c:v>4624.7283846020027</c:v>
                </c:pt>
                <c:pt idx="22">
                  <c:v>4538.5326177393808</c:v>
                </c:pt>
                <c:pt idx="23">
                  <c:v>4452.0670878190349</c:v>
                </c:pt>
                <c:pt idx="24">
                  <c:v>4364.6689797749386</c:v>
                </c:pt>
                <c:pt idx="25">
                  <c:v>4272.5426973519789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5176.5478075817155</c:v>
                </c:pt>
                <c:pt idx="1">
                  <c:v>5146.2491521045476</c:v>
                </c:pt>
                <c:pt idx="2">
                  <c:v>5396.4145960233054</c:v>
                </c:pt>
                <c:pt idx="3">
                  <c:v>5316.2153223493933</c:v>
                </c:pt>
                <c:pt idx="4">
                  <c:v>5610.6935129540561</c:v>
                </c:pt>
                <c:pt idx="5">
                  <c:v>5639.2616360428665</c:v>
                </c:pt>
                <c:pt idx="6">
                  <c:v>5755.4462883345395</c:v>
                </c:pt>
                <c:pt idx="7">
                  <c:v>5808.9951878718448</c:v>
                </c:pt>
                <c:pt idx="8">
                  <c:v>5785.3725328638056</c:v>
                </c:pt>
                <c:pt idx="9">
                  <c:v>5832.8497135580028</c:v>
                </c:pt>
                <c:pt idx="10">
                  <c:v>5842.7949099002572</c:v>
                </c:pt>
                <c:pt idx="11">
                  <c:v>5646.1692468640476</c:v>
                </c:pt>
                <c:pt idx="12">
                  <c:v>5765.1396618723247</c:v>
                </c:pt>
                <c:pt idx="13">
                  <c:v>5783.6635203498745</c:v>
                </c:pt>
                <c:pt idx="14">
                  <c:v>5806.8852209797678</c:v>
                </c:pt>
                <c:pt idx="15">
                  <c:v>5811.9310878058386</c:v>
                </c:pt>
                <c:pt idx="16">
                  <c:v>5812.4635161771675</c:v>
                </c:pt>
                <c:pt idx="17">
                  <c:v>5811.0199975542364</c:v>
                </c:pt>
                <c:pt idx="18">
                  <c:v>5809.9381751000137</c:v>
                </c:pt>
                <c:pt idx="19">
                  <c:v>5809.1851470508882</c:v>
                </c:pt>
                <c:pt idx="20">
                  <c:v>5810.9477863704697</c:v>
                </c:pt>
                <c:pt idx="21">
                  <c:v>5812.7535122204827</c:v>
                </c:pt>
                <c:pt idx="22">
                  <c:v>5815.1880767681723</c:v>
                </c:pt>
                <c:pt idx="23">
                  <c:v>5818.5118039144827</c:v>
                </c:pt>
                <c:pt idx="24">
                  <c:v>5821.946435730114</c:v>
                </c:pt>
                <c:pt idx="25">
                  <c:v>5820.8764372949108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1337.7813742381975</c:v>
                </c:pt>
                <c:pt idx="1">
                  <c:v>1366.2096281080082</c:v>
                </c:pt>
                <c:pt idx="2">
                  <c:v>1450.2489275019566</c:v>
                </c:pt>
                <c:pt idx="3">
                  <c:v>1483.3850866338123</c:v>
                </c:pt>
                <c:pt idx="4">
                  <c:v>1544.1819476824976</c:v>
                </c:pt>
                <c:pt idx="5">
                  <c:v>1538.7570902922546</c:v>
                </c:pt>
                <c:pt idx="6">
                  <c:v>1574.9342076581552</c:v>
                </c:pt>
                <c:pt idx="7">
                  <c:v>1593.907448676747</c:v>
                </c:pt>
                <c:pt idx="8">
                  <c:v>1586.6920738276017</c:v>
                </c:pt>
                <c:pt idx="9">
                  <c:v>1642.6509417224654</c:v>
                </c:pt>
                <c:pt idx="10">
                  <c:v>1728.4186881347291</c:v>
                </c:pt>
                <c:pt idx="11">
                  <c:v>1761.4601875525088</c:v>
                </c:pt>
                <c:pt idx="12">
                  <c:v>1723.0063356419273</c:v>
                </c:pt>
                <c:pt idx="13">
                  <c:v>1750.3028105020571</c:v>
                </c:pt>
                <c:pt idx="14">
                  <c:v>1778.6757665381106</c:v>
                </c:pt>
                <c:pt idx="15">
                  <c:v>1800.9127886997999</c:v>
                </c:pt>
                <c:pt idx="16">
                  <c:v>1822.7315350810209</c:v>
                </c:pt>
                <c:pt idx="17">
                  <c:v>1844.6631502859238</c:v>
                </c:pt>
                <c:pt idx="18">
                  <c:v>1866.9747464128288</c:v>
                </c:pt>
                <c:pt idx="19">
                  <c:v>1889.5902207914251</c:v>
                </c:pt>
                <c:pt idx="20">
                  <c:v>1913.7645217196425</c:v>
                </c:pt>
                <c:pt idx="21" formatCode="General">
                  <c:v>1938.2052565815263</c:v>
                </c:pt>
                <c:pt idx="22" formatCode="General">
                  <c:v>1963.1901590543273</c:v>
                </c:pt>
                <c:pt idx="23" formatCode="General">
                  <c:v>1989.2024689013758</c:v>
                </c:pt>
                <c:pt idx="24" formatCode="General">
                  <c:v>2015.9514292988713</c:v>
                </c:pt>
                <c:pt idx="25">
                  <c:v>2040.3810684286743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1586.7825100113255</c:v>
                </c:pt>
                <c:pt idx="1">
                  <c:v>1581.1973123132025</c:v>
                </c:pt>
                <c:pt idx="2">
                  <c:v>1626.861834502907</c:v>
                </c:pt>
                <c:pt idx="3">
                  <c:v>1652.4536883945132</c:v>
                </c:pt>
                <c:pt idx="4">
                  <c:v>1673.3476881371769</c:v>
                </c:pt>
                <c:pt idx="5">
                  <c:v>1634.7622700058328</c:v>
                </c:pt>
                <c:pt idx="6">
                  <c:v>1633.8100155683696</c:v>
                </c:pt>
                <c:pt idx="7">
                  <c:v>1637.2711289112337</c:v>
                </c:pt>
                <c:pt idx="8">
                  <c:v>1612.1871333606873</c:v>
                </c:pt>
                <c:pt idx="9">
                  <c:v>1634.5018593060929</c:v>
                </c:pt>
                <c:pt idx="10">
                  <c:v>1705.9419206369128</c:v>
                </c:pt>
                <c:pt idx="11">
                  <c:v>1705.0189991764234</c:v>
                </c:pt>
                <c:pt idx="12">
                  <c:v>1661.8858284749308</c:v>
                </c:pt>
                <c:pt idx="13">
                  <c:v>1675.591380287105</c:v>
                </c:pt>
                <c:pt idx="14">
                  <c:v>1692.2014623085624</c:v>
                </c:pt>
                <c:pt idx="15">
                  <c:v>1703.5284462232416</c:v>
                </c:pt>
                <c:pt idx="16">
                  <c:v>1714.601997366829</c:v>
                </c:pt>
                <c:pt idx="17">
                  <c:v>1726.3726077109382</c:v>
                </c:pt>
                <c:pt idx="18">
                  <c:v>1740.0480492945376</c:v>
                </c:pt>
                <c:pt idx="19">
                  <c:v>1755.5060648087926</c:v>
                </c:pt>
                <c:pt idx="20">
                  <c:v>1772.3025155954597</c:v>
                </c:pt>
                <c:pt idx="21" formatCode="General">
                  <c:v>1790.1743506150431</c:v>
                </c:pt>
                <c:pt idx="22" formatCode="General">
                  <c:v>1809.2612153465659</c:v>
                </c:pt>
                <c:pt idx="23" formatCode="General">
                  <c:v>1829.0603460110044</c:v>
                </c:pt>
                <c:pt idx="24" formatCode="General">
                  <c:v>1849.0379658990123</c:v>
                </c:pt>
                <c:pt idx="25">
                  <c:v>1868.8532961954377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4372.5617107630305</c:v>
                </c:pt>
                <c:pt idx="1">
                  <c:v>4612.6261793400463</c:v>
                </c:pt>
                <c:pt idx="2">
                  <c:v>4984.1203975720491</c:v>
                </c:pt>
                <c:pt idx="3">
                  <c:v>5230.1180480360144</c:v>
                </c:pt>
                <c:pt idx="4">
                  <c:v>5552.1107814229317</c:v>
                </c:pt>
                <c:pt idx="5">
                  <c:v>5584.3807768145707</c:v>
                </c:pt>
                <c:pt idx="6">
                  <c:v>5669.8041895566921</c:v>
                </c:pt>
                <c:pt idx="7">
                  <c:v>5828.2145674073563</c:v>
                </c:pt>
                <c:pt idx="8">
                  <c:v>5885.8422607909206</c:v>
                </c:pt>
                <c:pt idx="9">
                  <c:v>6107.7777430294245</c:v>
                </c:pt>
                <c:pt idx="10">
                  <c:v>6391.7857047961734</c:v>
                </c:pt>
                <c:pt idx="11">
                  <c:v>6563.448344263631</c:v>
                </c:pt>
                <c:pt idx="12">
                  <c:v>6466.2709693221213</c:v>
                </c:pt>
                <c:pt idx="13">
                  <c:v>6577.8073294987807</c:v>
                </c:pt>
                <c:pt idx="14">
                  <c:v>6692.5726063835664</c:v>
                </c:pt>
                <c:pt idx="15">
                  <c:v>6786.353670151364</c:v>
                </c:pt>
                <c:pt idx="16">
                  <c:v>6872.8506414818912</c:v>
                </c:pt>
                <c:pt idx="17">
                  <c:v>6955.2911961405216</c:v>
                </c:pt>
                <c:pt idx="18">
                  <c:v>7036.1565562817741</c:v>
                </c:pt>
                <c:pt idx="19">
                  <c:v>7115.8017552581314</c:v>
                </c:pt>
                <c:pt idx="20">
                  <c:v>7197.4751492322748</c:v>
                </c:pt>
                <c:pt idx="21" formatCode="General">
                  <c:v>7278.4243693172157</c:v>
                </c:pt>
                <c:pt idx="22" formatCode="General">
                  <c:v>7359.3685115161625</c:v>
                </c:pt>
                <c:pt idx="23" formatCode="General">
                  <c:v>7440.8739668848284</c:v>
                </c:pt>
                <c:pt idx="24" formatCode="General">
                  <c:v>7522.5028208970998</c:v>
                </c:pt>
                <c:pt idx="25" formatCode="General">
                  <c:v>7600.0146035431453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2083.335400291694</c:v>
                </c:pt>
                <c:pt idx="1">
                  <c:v>1994.7773838239891</c:v>
                </c:pt>
                <c:pt idx="2">
                  <c:v>2069.1596124927764</c:v>
                </c:pt>
                <c:pt idx="3">
                  <c:v>2165.9854077016334</c:v>
                </c:pt>
                <c:pt idx="4">
                  <c:v>2381.9020884923284</c:v>
                </c:pt>
                <c:pt idx="5">
                  <c:v>2754.1142531476803</c:v>
                </c:pt>
                <c:pt idx="6">
                  <c:v>3201.4171963419099</c:v>
                </c:pt>
                <c:pt idx="7">
                  <c:v>3261.3467888964301</c:v>
                </c:pt>
                <c:pt idx="8">
                  <c:v>3380.9957730962628</c:v>
                </c:pt>
                <c:pt idx="9">
                  <c:v>3602.5037901916585</c:v>
                </c:pt>
                <c:pt idx="10">
                  <c:v>3765.2895086273265</c:v>
                </c:pt>
                <c:pt idx="11">
                  <c:v>3880.0005402173656</c:v>
                </c:pt>
                <c:pt idx="12">
                  <c:v>4181.6766493904233</c:v>
                </c:pt>
                <c:pt idx="13">
                  <c:v>4397.6890846726328</c:v>
                </c:pt>
                <c:pt idx="14">
                  <c:v>4616.944697078372</c:v>
                </c:pt>
                <c:pt idx="15">
                  <c:v>4821.6227812757252</c:v>
                </c:pt>
                <c:pt idx="16">
                  <c:v>5022.2768915977913</c:v>
                </c:pt>
                <c:pt idx="17">
                  <c:v>5220.6271853848611</c:v>
                </c:pt>
                <c:pt idx="18">
                  <c:v>5418.3495787903457</c:v>
                </c:pt>
                <c:pt idx="19">
                  <c:v>5615.4680935448378</c:v>
                </c:pt>
                <c:pt idx="20">
                  <c:v>5813.9077874228396</c:v>
                </c:pt>
                <c:pt idx="21" formatCode="General">
                  <c:v>6011.3093211772211</c:v>
                </c:pt>
                <c:pt idx="22" formatCode="General">
                  <c:v>6208.1153104588675</c:v>
                </c:pt>
                <c:pt idx="23" formatCode="General">
                  <c:v>6404.494139971358</c:v>
                </c:pt>
                <c:pt idx="24" formatCode="General">
                  <c:v>6599.4358730895319</c:v>
                </c:pt>
                <c:pt idx="25" formatCode="General">
                  <c:v>6789.3769020925147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298.02296654885242</c:v>
                </c:pt>
                <c:pt idx="1">
                  <c:v>286.00094880658258</c:v>
                </c:pt>
                <c:pt idx="2">
                  <c:v>294.38285958991185</c:v>
                </c:pt>
                <c:pt idx="3">
                  <c:v>310.52899663042621</c:v>
                </c:pt>
                <c:pt idx="4">
                  <c:v>342.72621320522273</c:v>
                </c:pt>
                <c:pt idx="5">
                  <c:v>393.72032912482803</c:v>
                </c:pt>
                <c:pt idx="6">
                  <c:v>451.19334937865506</c:v>
                </c:pt>
                <c:pt idx="7">
                  <c:v>460.59471386481113</c:v>
                </c:pt>
                <c:pt idx="8">
                  <c:v>477.28649282427062</c:v>
                </c:pt>
                <c:pt idx="9">
                  <c:v>507.77283542055346</c:v>
                </c:pt>
                <c:pt idx="10">
                  <c:v>522.64787196202724</c:v>
                </c:pt>
                <c:pt idx="11">
                  <c:v>543.89963333412709</c:v>
                </c:pt>
                <c:pt idx="12">
                  <c:v>583.55857846366393</c:v>
                </c:pt>
                <c:pt idx="13">
                  <c:v>612.62423037049075</c:v>
                </c:pt>
                <c:pt idx="14">
                  <c:v>642.19821399752482</c:v>
                </c:pt>
                <c:pt idx="15">
                  <c:v>669.85441339156375</c:v>
                </c:pt>
                <c:pt idx="16">
                  <c:v>696.92472265863819</c:v>
                </c:pt>
                <c:pt idx="17">
                  <c:v>723.72296555397668</c:v>
                </c:pt>
                <c:pt idx="18">
                  <c:v>750.40508852815412</c:v>
                </c:pt>
                <c:pt idx="19">
                  <c:v>776.8847994602072</c:v>
                </c:pt>
                <c:pt idx="20">
                  <c:v>803.52198456787437</c:v>
                </c:pt>
                <c:pt idx="21" formatCode="General">
                  <c:v>829.98576823715348</c:v>
                </c:pt>
                <c:pt idx="22" formatCode="General">
                  <c:v>856.36344659826341</c:v>
                </c:pt>
                <c:pt idx="23" formatCode="General">
                  <c:v>882.56812204135997</c:v>
                </c:pt>
                <c:pt idx="24" formatCode="General">
                  <c:v>908.74316508922925</c:v>
                </c:pt>
                <c:pt idx="25" formatCode="General">
                  <c:v>934.29562779049672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1899.433639026867</c:v>
                </c:pt>
                <c:pt idx="1">
                  <c:v>923.52132759385643</c:v>
                </c:pt>
                <c:pt idx="2">
                  <c:v>1585.0798970775465</c:v>
                </c:pt>
                <c:pt idx="3">
                  <c:v>1169.4428202608062</c:v>
                </c:pt>
                <c:pt idx="4">
                  <c:v>1361.749185159139</c:v>
                </c:pt>
                <c:pt idx="5">
                  <c:v>1796.9718795456633</c:v>
                </c:pt>
                <c:pt idx="6">
                  <c:v>463.28274271165401</c:v>
                </c:pt>
                <c:pt idx="7">
                  <c:v>493.00201988165986</c:v>
                </c:pt>
                <c:pt idx="8">
                  <c:v>294.53338224612929</c:v>
                </c:pt>
                <c:pt idx="9">
                  <c:v>627.36985128235654</c:v>
                </c:pt>
                <c:pt idx="10">
                  <c:v>1794.8908672659011</c:v>
                </c:pt>
                <c:pt idx="11">
                  <c:v>2509.3095493404007</c:v>
                </c:pt>
                <c:pt idx="12">
                  <c:v>640.1842113063916</c:v>
                </c:pt>
                <c:pt idx="13">
                  <c:v>298.83864607965563</c:v>
                </c:pt>
                <c:pt idx="14">
                  <c:v>1042.1574658136535</c:v>
                </c:pt>
                <c:pt idx="15">
                  <c:v>918.22690874959676</c:v>
                </c:pt>
                <c:pt idx="16">
                  <c:v>630.46793566083784</c:v>
                </c:pt>
                <c:pt idx="17">
                  <c:v>2030.2468142039761</c:v>
                </c:pt>
                <c:pt idx="18">
                  <c:v>627.38990653790802</c:v>
                </c:pt>
                <c:pt idx="19">
                  <c:v>28.840224624383744</c:v>
                </c:pt>
                <c:pt idx="20">
                  <c:v>1992.1189392123579</c:v>
                </c:pt>
                <c:pt idx="21">
                  <c:v>459.59571905867102</c:v>
                </c:pt>
                <c:pt idx="22">
                  <c:v>713.31333030825101</c:v>
                </c:pt>
                <c:pt idx="23">
                  <c:v>1054.0123740558722</c:v>
                </c:pt>
                <c:pt idx="24">
                  <c:v>475.90883310534315</c:v>
                </c:pt>
                <c:pt idx="25">
                  <c:v>2826.2835298888986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2300.8631856488205</c:v>
                </c:pt>
                <c:pt idx="1">
                  <c:v>997.09987935375352</c:v>
                </c:pt>
                <c:pt idx="2">
                  <c:v>1898.9978151049093</c:v>
                </c:pt>
                <c:pt idx="3">
                  <c:v>1353.7379872555568</c:v>
                </c:pt>
                <c:pt idx="4">
                  <c:v>1500.5047473431287</c:v>
                </c:pt>
                <c:pt idx="5">
                  <c:v>2289.6674970727631</c:v>
                </c:pt>
                <c:pt idx="6">
                  <c:v>591.71409062760927</c:v>
                </c:pt>
                <c:pt idx="7">
                  <c:v>568.76339753397008</c:v>
                </c:pt>
                <c:pt idx="8">
                  <c:v>321.69473826189443</c:v>
                </c:pt>
                <c:pt idx="9">
                  <c:v>678.67489071769273</c:v>
                </c:pt>
                <c:pt idx="10">
                  <c:v>1991.4785005112092</c:v>
                </c:pt>
                <c:pt idx="11">
                  <c:v>2574.3940918239059</c:v>
                </c:pt>
                <c:pt idx="12">
                  <c:v>572.63624585098148</c:v>
                </c:pt>
                <c:pt idx="13">
                  <c:v>271.23814466195341</c:v>
                </c:pt>
                <c:pt idx="14">
                  <c:v>926.35566763503004</c:v>
                </c:pt>
                <c:pt idx="15">
                  <c:v>767.57313691964396</c:v>
                </c:pt>
                <c:pt idx="16">
                  <c:v>545.11129837873182</c:v>
                </c:pt>
                <c:pt idx="17">
                  <c:v>2025.984443266439</c:v>
                </c:pt>
                <c:pt idx="18">
                  <c:v>625.46697377789098</c:v>
                </c:pt>
                <c:pt idx="19">
                  <c:v>31.742463409059319</c:v>
                </c:pt>
                <c:pt idx="20">
                  <c:v>1852.3067229280093</c:v>
                </c:pt>
                <c:pt idx="21">
                  <c:v>510.02655870683429</c:v>
                </c:pt>
                <c:pt idx="22">
                  <c:v>607.28189366049708</c:v>
                </c:pt>
                <c:pt idx="23">
                  <c:v>1054.8556506340044</c:v>
                </c:pt>
                <c:pt idx="24">
                  <c:v>381.35221201872946</c:v>
                </c:pt>
                <c:pt idx="25">
                  <c:v>2620.1587668920147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2367.6940169092045</c:v>
                </c:pt>
                <c:pt idx="1">
                  <c:v>1429.4676888704503</c:v>
                </c:pt>
                <c:pt idx="2">
                  <c:v>2241.4331785640356</c:v>
                </c:pt>
                <c:pt idx="3">
                  <c:v>1588.4343307583806</c:v>
                </c:pt>
                <c:pt idx="4">
                  <c:v>1699.3396854728551</c:v>
                </c:pt>
                <c:pt idx="5">
                  <c:v>2883.476674638734</c:v>
                </c:pt>
                <c:pt idx="6">
                  <c:v>561.40487958926167</c:v>
                </c:pt>
                <c:pt idx="7">
                  <c:v>632.02415358167207</c:v>
                </c:pt>
                <c:pt idx="8">
                  <c:v>442.14672512900484</c:v>
                </c:pt>
                <c:pt idx="9">
                  <c:v>746.4495820140279</c:v>
                </c:pt>
                <c:pt idx="10">
                  <c:v>2011.855838852345</c:v>
                </c:pt>
                <c:pt idx="11">
                  <c:v>2246.6551666385835</c:v>
                </c:pt>
                <c:pt idx="12">
                  <c:v>473.46688944481207</c:v>
                </c:pt>
                <c:pt idx="13">
                  <c:v>309.33559436851789</c:v>
                </c:pt>
                <c:pt idx="14">
                  <c:v>872.67621532730266</c:v>
                </c:pt>
                <c:pt idx="15">
                  <c:v>763.22944153326262</c:v>
                </c:pt>
                <c:pt idx="16">
                  <c:v>548.89697532090725</c:v>
                </c:pt>
                <c:pt idx="17">
                  <c:v>2414.2517515389786</c:v>
                </c:pt>
                <c:pt idx="18">
                  <c:v>662.04991372339862</c:v>
                </c:pt>
                <c:pt idx="19">
                  <c:v>27.819487466245615</c:v>
                </c:pt>
                <c:pt idx="20">
                  <c:v>1638.8493200669641</c:v>
                </c:pt>
                <c:pt idx="21">
                  <c:v>749.94596673149408</c:v>
                </c:pt>
                <c:pt idx="22">
                  <c:v>716.39137017341181</c:v>
                </c:pt>
                <c:pt idx="23">
                  <c:v>1135.6959002790093</c:v>
                </c:pt>
                <c:pt idx="24">
                  <c:v>305.22320056621066</c:v>
                </c:pt>
                <c:pt idx="25">
                  <c:v>2601.8770524398415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401.42954662195348</c:v>
                </c:pt>
                <c:pt idx="1">
                  <c:v>73.578551759897096</c:v>
                </c:pt>
                <c:pt idx="2">
                  <c:v>313.9179180273627</c:v>
                </c:pt>
                <c:pt idx="3">
                  <c:v>184.29516699475062</c:v>
                </c:pt>
                <c:pt idx="4">
                  <c:v>138.7555621839897</c:v>
                </c:pt>
                <c:pt idx="5">
                  <c:v>492.69561752709978</c:v>
                </c:pt>
                <c:pt idx="6">
                  <c:v>128.43134791595526</c:v>
                </c:pt>
                <c:pt idx="7">
                  <c:v>75.761377652310216</c:v>
                </c:pt>
                <c:pt idx="8">
                  <c:v>27.161356015765136</c:v>
                </c:pt>
                <c:pt idx="9">
                  <c:v>51.305039435336198</c:v>
                </c:pt>
                <c:pt idx="10">
                  <c:v>196.5876332453081</c:v>
                </c:pt>
                <c:pt idx="11">
                  <c:v>65.084542483505174</c:v>
                </c:pt>
                <c:pt idx="12">
                  <c:v>-67.547965455410122</c:v>
                </c:pt>
                <c:pt idx="13">
                  <c:v>-27.600501417702219</c:v>
                </c:pt>
                <c:pt idx="14">
                  <c:v>-115.80179817862347</c:v>
                </c:pt>
                <c:pt idx="15">
                  <c:v>-150.6537718299528</c:v>
                </c:pt>
                <c:pt idx="16">
                  <c:v>-85.356637282106021</c:v>
                </c:pt>
                <c:pt idx="17">
                  <c:v>-4.2623709375370709</c:v>
                </c:pt>
                <c:pt idx="18">
                  <c:v>-1.9229327600170336</c:v>
                </c:pt>
                <c:pt idx="19">
                  <c:v>2.9022387846755748</c:v>
                </c:pt>
                <c:pt idx="20">
                  <c:v>-139.81221628434855</c:v>
                </c:pt>
                <c:pt idx="21">
                  <c:v>50.430839648163271</c:v>
                </c:pt>
                <c:pt idx="22">
                  <c:v>-106.03143664775394</c:v>
                </c:pt>
                <c:pt idx="23">
                  <c:v>0.84327657813219048</c:v>
                </c:pt>
                <c:pt idx="24">
                  <c:v>-94.556621086613688</c:v>
                </c:pt>
                <c:pt idx="25">
                  <c:v>-206.12476299688387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66.830831260384002</c:v>
                </c:pt>
                <c:pt idx="1">
                  <c:v>432.36780951669675</c:v>
                </c:pt>
                <c:pt idx="2">
                  <c:v>342.43536345912639</c:v>
                </c:pt>
                <c:pt idx="3">
                  <c:v>234.69634350282377</c:v>
                </c:pt>
                <c:pt idx="4">
                  <c:v>198.83493812972642</c:v>
                </c:pt>
                <c:pt idx="5">
                  <c:v>593.80917756597091</c:v>
                </c:pt>
                <c:pt idx="6">
                  <c:v>-30.309211038347598</c:v>
                </c:pt>
                <c:pt idx="7">
                  <c:v>63.260756047701989</c:v>
                </c:pt>
                <c:pt idx="8">
                  <c:v>120.45198686711041</c:v>
                </c:pt>
                <c:pt idx="9">
                  <c:v>67.774691296335163</c:v>
                </c:pt>
                <c:pt idx="10">
                  <c:v>20.377338341135783</c:v>
                </c:pt>
                <c:pt idx="11">
                  <c:v>-327.73892518532239</c:v>
                </c:pt>
                <c:pt idx="12">
                  <c:v>-99.169356406169413</c:v>
                </c:pt>
                <c:pt idx="13">
                  <c:v>38.097449706564475</c:v>
                </c:pt>
                <c:pt idx="14">
                  <c:v>-53.679452307727388</c:v>
                </c:pt>
                <c:pt idx="15">
                  <c:v>-4.3436953863813415</c:v>
                </c:pt>
                <c:pt idx="16">
                  <c:v>3.7856769421754279</c:v>
                </c:pt>
                <c:pt idx="17">
                  <c:v>388.26730827253959</c:v>
                </c:pt>
                <c:pt idx="18">
                  <c:v>36.582939945507633</c:v>
                </c:pt>
                <c:pt idx="19">
                  <c:v>-3.9229759428137037</c:v>
                </c:pt>
                <c:pt idx="20">
                  <c:v>-213.45740286104524</c:v>
                </c:pt>
                <c:pt idx="21">
                  <c:v>239.91940802465979</c:v>
                </c:pt>
                <c:pt idx="22">
                  <c:v>109.10947651291474</c:v>
                </c:pt>
                <c:pt idx="23">
                  <c:v>80.84024964500486</c:v>
                </c:pt>
                <c:pt idx="24">
                  <c:v>-76.129011452518796</c:v>
                </c:pt>
                <c:pt idx="25">
                  <c:v>-18.281714452173219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6.6283578945122699</c:v>
                </c:pt>
                <c:pt idx="1">
                  <c:v>7.7055852862232612</c:v>
                </c:pt>
                <c:pt idx="2">
                  <c:v>7.3828727736048068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3.2227658585868633</c:v>
                </c:pt>
                <c:pt idx="1">
                  <c:v>3.3392851027240349</c:v>
                </c:pt>
                <c:pt idx="2">
                  <c:v>4.4573234571442253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1.6166944514141319</c:v>
                </c:pt>
                <c:pt idx="1">
                  <c:v>1.9816490692841213</c:v>
                </c:pt>
                <c:pt idx="2">
                  <c:v>1.7505559294773463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1.7204043159766707</c:v>
                </c:pt>
                <c:pt idx="1">
                  <c:v>1.904787253199606</c:v>
                </c:pt>
                <c:pt idx="2">
                  <c:v>1.970758840633454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1.0278183082030363</c:v>
                </c:pt>
                <c:pt idx="1">
                  <c:v>1.0773549063097756</c:v>
                </c:pt>
                <c:pt idx="2">
                  <c:v>1.3786887138206745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2.1893009690282614</c:v>
                </c:pt>
                <c:pt idx="1">
                  <c:v>2.2728805800631475</c:v>
                </c:pt>
                <c:pt idx="2">
                  <c:v>2.327556794316715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6.2635402497794912</c:v>
                </c:pt>
                <c:pt idx="1">
                  <c:v>6.6694567182802116</c:v>
                </c:pt>
                <c:pt idx="2">
                  <c:v>6.27330879370568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8.7566111389218193</c:v>
                </c:pt>
                <c:pt idx="1">
                  <c:v>8.6216396344767841</c:v>
                </c:pt>
                <c:pt idx="2">
                  <c:v>7.00545304545179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2.2340185957372163</c:v>
                </c:pt>
                <c:pt idx="1">
                  <c:v>1.9177574129176953</c:v>
                </c:pt>
                <c:pt idx="2">
                  <c:v>1.4763503148301893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7.084850042790551</c:v>
                </c:pt>
                <c:pt idx="1">
                  <c:v>6.7850170377465711</c:v>
                </c:pt>
                <c:pt idx="2">
                  <c:v>7.5280477113054065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2.1893709548433642</c:v>
                </c:pt>
                <c:pt idx="1">
                  <c:v>2.0946873939409967</c:v>
                </c:pt>
                <c:pt idx="2">
                  <c:v>2.0643842692040422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0.1006422791724798</c:v>
                </c:pt>
                <c:pt idx="1">
                  <c:v>0.10630543376891599</c:v>
                </c:pt>
                <c:pt idx="2">
                  <c:v>8.6745895003062401E-2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6.9517971179559952</c:v>
                </c:pt>
                <c:pt idx="1">
                  <c:v>6.2033707691931372</c:v>
                </c:pt>
                <c:pt idx="2">
                  <c:v>5.1102110064702337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1.6038280306898869</c:v>
                </c:pt>
                <c:pt idx="1">
                  <c:v>1.70807772094725</c:v>
                </c:pt>
                <c:pt idx="2">
                  <c:v>2.3384591167250499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2.4892135987608759</c:v>
                </c:pt>
                <c:pt idx="1">
                  <c:v>2.033785604275538</c:v>
                </c:pt>
                <c:pt idx="2">
                  <c:v>2.2338301758278023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3.6781338905138976</c:v>
                </c:pt>
                <c:pt idx="1">
                  <c:v>3.5327090421166245</c:v>
                </c:pt>
                <c:pt idx="2">
                  <c:v>3.5412930392964839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5.5313734754162898</c:v>
                </c:pt>
                <c:pt idx="1">
                  <c:v>6.359739124825964</c:v>
                </c:pt>
                <c:pt idx="2">
                  <c:v>6.9891699981896291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4.0809457043351678</c:v>
                </c:pt>
                <c:pt idx="1">
                  <c:v>4.5336652700870506</c:v>
                </c:pt>
                <c:pt idx="2">
                  <c:v>4.9530084924250293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4.7520275393351383</c:v>
                </c:pt>
                <c:pt idx="1">
                  <c:v>5.0251867973518474</c:v>
                </c:pt>
                <c:pt idx="2">
                  <c:v>5.29883025736632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6.2708022535103529</c:v>
                </c:pt>
                <c:pt idx="1">
                  <c:v>7.6680909520538538</c:v>
                </c:pt>
                <c:pt idx="2">
                  <c:v>8.9911708533625063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1.0428421705441984</c:v>
                </c:pt>
                <c:pt idx="1">
                  <c:v>0.90837589544911246</c:v>
                </c:pt>
                <c:pt idx="2">
                  <c:v>0.96456101221704804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3.6367644143597917</c:v>
                </c:pt>
                <c:pt idx="1">
                  <c:v>3.102362907477759</c:v>
                </c:pt>
                <c:pt idx="2">
                  <c:v>2.7211529126229559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3.2042901918290698</c:v>
                </c:pt>
                <c:pt idx="1">
                  <c:v>2.5706005932205755</c:v>
                </c:pt>
                <c:pt idx="2">
                  <c:v>2.3798792511480205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2.2001121980314986</c:v>
                </c:pt>
                <c:pt idx="1">
                  <c:v>1.8255764298983048</c:v>
                </c:pt>
                <c:pt idx="2">
                  <c:v>1.7115541559296665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1.6607550830773217</c:v>
                </c:pt>
                <c:pt idx="1">
                  <c:v>1.2771476427319932</c:v>
                </c:pt>
                <c:pt idx="2">
                  <c:v>0.9517378686771456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9.862739272674375</c:v>
                </c:pt>
                <c:pt idx="1">
                  <c:v>8.7749054214358484</c:v>
                </c:pt>
                <c:pt idx="2">
                  <c:v>8.1130953212447405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-94.410725904691844</c:v>
                </c:pt>
                <c:pt idx="1">
                  <c:v>189.94972615791971</c:v>
                </c:pt>
                <c:pt idx="2">
                  <c:v>26.462005163614322</c:v>
                </c:pt>
                <c:pt idx="3">
                  <c:v>420.92727227523346</c:v>
                </c:pt>
                <c:pt idx="4">
                  <c:v>-16.140021045368485</c:v>
                </c:pt>
                <c:pt idx="5">
                  <c:v>-426.90828159149214</c:v>
                </c:pt>
                <c:pt idx="6">
                  <c:v>241.55556151393557</c:v>
                </c:pt>
                <c:pt idx="7">
                  <c:v>1369.775822657648</c:v>
                </c:pt>
                <c:pt idx="8">
                  <c:v>499.19864077708098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1325.665331434858</c:v>
                </c:pt>
                <c:pt idx="1">
                  <c:v>1064.9287734529767</c:v>
                </c:pt>
                <c:pt idx="2">
                  <c:v>1118.9672606861279</c:v>
                </c:pt>
                <c:pt idx="3">
                  <c:v>2022.3299900043323</c:v>
                </c:pt>
                <c:pt idx="4">
                  <c:v>1061.8383062533626</c:v>
                </c:pt>
                <c:pt idx="5">
                  <c:v>1038.648258084098</c:v>
                </c:pt>
                <c:pt idx="6">
                  <c:v>2172.4041441592885</c:v>
                </c:pt>
                <c:pt idx="7">
                  <c:v>5023.418398209451</c:v>
                </c:pt>
                <c:pt idx="8">
                  <c:v>2370.3324647674985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66.830831260384002</c:v>
                </c:pt>
                <c:pt idx="1">
                  <c:v>432.36780951669675</c:v>
                </c:pt>
                <c:pt idx="2">
                  <c:v>342.43536345912639</c:v>
                </c:pt>
                <c:pt idx="3">
                  <c:v>234.69634350282377</c:v>
                </c:pt>
                <c:pt idx="4">
                  <c:v>198.83493812972642</c:v>
                </c:pt>
                <c:pt idx="5">
                  <c:v>593.80917756597091</c:v>
                </c:pt>
                <c:pt idx="6">
                  <c:v>-30.309211038347598</c:v>
                </c:pt>
                <c:pt idx="7">
                  <c:v>63.260756047701989</c:v>
                </c:pt>
                <c:pt idx="8">
                  <c:v>120.45198686711041</c:v>
                </c:pt>
                <c:pt idx="9">
                  <c:v>67.774691296335163</c:v>
                </c:pt>
                <c:pt idx="10">
                  <c:v>20.377338341135783</c:v>
                </c:pt>
                <c:pt idx="11">
                  <c:v>-327.73892518532239</c:v>
                </c:pt>
                <c:pt idx="12">
                  <c:v>-99.169356406169413</c:v>
                </c:pt>
                <c:pt idx="13">
                  <c:v>38.097449706564475</c:v>
                </c:pt>
                <c:pt idx="14">
                  <c:v>-53.679452307727388</c:v>
                </c:pt>
                <c:pt idx="15">
                  <c:v>-4.3436953863813415</c:v>
                </c:pt>
                <c:pt idx="16">
                  <c:v>3.7856769421754279</c:v>
                </c:pt>
                <c:pt idx="17">
                  <c:v>388.26730827253959</c:v>
                </c:pt>
                <c:pt idx="18">
                  <c:v>36.582939945507633</c:v>
                </c:pt>
                <c:pt idx="19">
                  <c:v>-3.9229759428137037</c:v>
                </c:pt>
                <c:pt idx="20">
                  <c:v>-213.45740286104524</c:v>
                </c:pt>
                <c:pt idx="21">
                  <c:v>239.91940802465979</c:v>
                </c:pt>
                <c:pt idx="22">
                  <c:v>109.10947651291474</c:v>
                </c:pt>
                <c:pt idx="23">
                  <c:v>80.84024964500486</c:v>
                </c:pt>
                <c:pt idx="24">
                  <c:v>-76.129011452518796</c:v>
                </c:pt>
                <c:pt idx="25">
                  <c:v>-18.281714452173219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1216.6399604225012</c:v>
                </c:pt>
                <c:pt idx="1">
                  <c:v>1153.6925043449971</c:v>
                </c:pt>
                <c:pt idx="2">
                  <c:v>1124.9309494692022</c:v>
                </c:pt>
                <c:pt idx="3">
                  <c:v>1025.3980036686983</c:v>
                </c:pt>
                <c:pt idx="4">
                  <c:v>1013.1844596127014</c:v>
                </c:pt>
                <c:pt idx="5">
                  <c:v>1859.9049854588486</c:v>
                </c:pt>
                <c:pt idx="6">
                  <c:v>192.78953375619321</c:v>
                </c:pt>
                <c:pt idx="7">
                  <c:v>402.76858438180039</c:v>
                </c:pt>
                <c:pt idx="8">
                  <c:v>257.32462988748432</c:v>
                </c:pt>
                <c:pt idx="9">
                  <c:v>393.68865340528612</c:v>
                </c:pt>
                <c:pt idx="10">
                  <c:v>925.83274272852475</c:v>
                </c:pt>
                <c:pt idx="11">
                  <c:v>843.56420783376234</c:v>
                </c:pt>
                <c:pt idx="12">
                  <c:v>195.08405025033596</c:v>
                </c:pt>
                <c:pt idx="13">
                  <c:v>200.00829218620655</c:v>
                </c:pt>
                <c:pt idx="14">
                  <c:v>293.15181715438905</c:v>
                </c:pt>
                <c:pt idx="15">
                  <c:v>328.60976059916732</c:v>
                </c:pt>
                <c:pt idx="16">
                  <c:v>240.06843631359928</c:v>
                </c:pt>
                <c:pt idx="17">
                  <c:v>1648.5315939037071</c:v>
                </c:pt>
                <c:pt idx="18">
                  <c:v>364.60317821677495</c:v>
                </c:pt>
                <c:pt idx="19">
                  <c:v>9.1952178838503063</c:v>
                </c:pt>
                <c:pt idx="20">
                  <c:v>572.27231525866409</c:v>
                </c:pt>
                <c:pt idx="21">
                  <c:v>546.69494542746406</c:v>
                </c:pt>
                <c:pt idx="22">
                  <c:v>389.4358637289655</c:v>
                </c:pt>
                <c:pt idx="23">
                  <c:v>675.49290972401116</c:v>
                </c:pt>
                <c:pt idx="24">
                  <c:v>50.009487991536588</c:v>
                </c:pt>
                <c:pt idx="25">
                  <c:v>1275.6558434433211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97971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87086</xdr:colOff>
          <xdr:row>6</xdr:row>
          <xdr:rowOff>87086</xdr:rowOff>
        </xdr:from>
        <xdr:to>
          <xdr:col>1</xdr:col>
          <xdr:colOff>658586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406400"/>
          <a:ext cx="12482739" cy="4430939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45" x14ac:dyDescent="0.3"/>
  <cols>
    <col min="1" max="1" width="16.3828125" customWidth="1"/>
  </cols>
  <sheetData>
    <row r="1" spans="1:10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3">
      <c r="A2" t="s">
        <v>140</v>
      </c>
      <c r="B2" s="82" t="s">
        <v>541</v>
      </c>
      <c r="C2" t="s">
        <v>524</v>
      </c>
      <c r="D2" t="s">
        <v>523</v>
      </c>
    </row>
    <row r="3" spans="1:10" x14ac:dyDescent="0.3">
      <c r="B3" s="82"/>
    </row>
    <row r="11" spans="1:10" x14ac:dyDescent="0.3">
      <c r="A11" t="s">
        <v>141</v>
      </c>
      <c r="B11" s="82" t="s">
        <v>541</v>
      </c>
    </row>
    <row r="12" spans="1:10" x14ac:dyDescent="0.3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opLeftCell="A12" zoomScale="75" zoomScaleNormal="75" workbookViewId="0"/>
  </sheetViews>
  <sheetFormatPr defaultColWidth="10.3828125" defaultRowHeight="12.45" x14ac:dyDescent="0.3"/>
  <cols>
    <col min="1" max="13" width="11.53515625" style="214" customWidth="1"/>
    <col min="14" max="256" width="10.3828125" style="214"/>
    <col min="257" max="269" width="11.53515625" style="214" customWidth="1"/>
    <col min="270" max="512" width="10.3828125" style="214"/>
    <col min="513" max="525" width="11.53515625" style="214" customWidth="1"/>
    <col min="526" max="768" width="10.3828125" style="214"/>
    <col min="769" max="781" width="11.53515625" style="214" customWidth="1"/>
    <col min="782" max="1024" width="10.3828125" style="214"/>
    <col min="1025" max="1037" width="11.53515625" style="214" customWidth="1"/>
    <col min="1038" max="1280" width="10.3828125" style="214"/>
    <col min="1281" max="1293" width="11.53515625" style="214" customWidth="1"/>
    <col min="1294" max="1536" width="10.3828125" style="214"/>
    <col min="1537" max="1549" width="11.53515625" style="214" customWidth="1"/>
    <col min="1550" max="1792" width="10.3828125" style="214"/>
    <col min="1793" max="1805" width="11.53515625" style="214" customWidth="1"/>
    <col min="1806" max="2048" width="10.3828125" style="214"/>
    <col min="2049" max="2061" width="11.53515625" style="214" customWidth="1"/>
    <col min="2062" max="2304" width="10.3828125" style="214"/>
    <col min="2305" max="2317" width="11.53515625" style="214" customWidth="1"/>
    <col min="2318" max="2560" width="10.3828125" style="214"/>
    <col min="2561" max="2573" width="11.53515625" style="214" customWidth="1"/>
    <col min="2574" max="2816" width="10.3828125" style="214"/>
    <col min="2817" max="2829" width="11.53515625" style="214" customWidth="1"/>
    <col min="2830" max="3072" width="10.3828125" style="214"/>
    <col min="3073" max="3085" width="11.53515625" style="214" customWidth="1"/>
    <col min="3086" max="3328" width="10.3828125" style="214"/>
    <col min="3329" max="3341" width="11.53515625" style="214" customWidth="1"/>
    <col min="3342" max="3584" width="10.3828125" style="214"/>
    <col min="3585" max="3597" width="11.53515625" style="214" customWidth="1"/>
    <col min="3598" max="3840" width="10.3828125" style="214"/>
    <col min="3841" max="3853" width="11.53515625" style="214" customWidth="1"/>
    <col min="3854" max="4096" width="10.3828125" style="214"/>
    <col min="4097" max="4109" width="11.53515625" style="214" customWidth="1"/>
    <col min="4110" max="4352" width="10.3828125" style="214"/>
    <col min="4353" max="4365" width="11.53515625" style="214" customWidth="1"/>
    <col min="4366" max="4608" width="10.3828125" style="214"/>
    <col min="4609" max="4621" width="11.53515625" style="214" customWidth="1"/>
    <col min="4622" max="4864" width="10.3828125" style="214"/>
    <col min="4865" max="4877" width="11.53515625" style="214" customWidth="1"/>
    <col min="4878" max="5120" width="10.3828125" style="214"/>
    <col min="5121" max="5133" width="11.53515625" style="214" customWidth="1"/>
    <col min="5134" max="5376" width="10.3828125" style="214"/>
    <col min="5377" max="5389" width="11.53515625" style="214" customWidth="1"/>
    <col min="5390" max="5632" width="10.3828125" style="214"/>
    <col min="5633" max="5645" width="11.53515625" style="214" customWidth="1"/>
    <col min="5646" max="5888" width="10.3828125" style="214"/>
    <col min="5889" max="5901" width="11.53515625" style="214" customWidth="1"/>
    <col min="5902" max="6144" width="10.3828125" style="214"/>
    <col min="6145" max="6157" width="11.53515625" style="214" customWidth="1"/>
    <col min="6158" max="6400" width="10.3828125" style="214"/>
    <col min="6401" max="6413" width="11.53515625" style="214" customWidth="1"/>
    <col min="6414" max="6656" width="10.3828125" style="214"/>
    <col min="6657" max="6669" width="11.53515625" style="214" customWidth="1"/>
    <col min="6670" max="6912" width="10.3828125" style="214"/>
    <col min="6913" max="6925" width="11.53515625" style="214" customWidth="1"/>
    <col min="6926" max="7168" width="10.3828125" style="214"/>
    <col min="7169" max="7181" width="11.53515625" style="214" customWidth="1"/>
    <col min="7182" max="7424" width="10.3828125" style="214"/>
    <col min="7425" max="7437" width="11.53515625" style="214" customWidth="1"/>
    <col min="7438" max="7680" width="10.3828125" style="214"/>
    <col min="7681" max="7693" width="11.53515625" style="214" customWidth="1"/>
    <col min="7694" max="7936" width="10.3828125" style="214"/>
    <col min="7937" max="7949" width="11.53515625" style="214" customWidth="1"/>
    <col min="7950" max="8192" width="10.3828125" style="214"/>
    <col min="8193" max="8205" width="11.53515625" style="214" customWidth="1"/>
    <col min="8206" max="8448" width="10.3828125" style="214"/>
    <col min="8449" max="8461" width="11.53515625" style="214" customWidth="1"/>
    <col min="8462" max="8704" width="10.3828125" style="214"/>
    <col min="8705" max="8717" width="11.53515625" style="214" customWidth="1"/>
    <col min="8718" max="8960" width="10.3828125" style="214"/>
    <col min="8961" max="8973" width="11.53515625" style="214" customWidth="1"/>
    <col min="8974" max="9216" width="10.3828125" style="214"/>
    <col min="9217" max="9229" width="11.53515625" style="214" customWidth="1"/>
    <col min="9230" max="9472" width="10.3828125" style="214"/>
    <col min="9473" max="9485" width="11.53515625" style="214" customWidth="1"/>
    <col min="9486" max="9728" width="10.3828125" style="214"/>
    <col min="9729" max="9741" width="11.53515625" style="214" customWidth="1"/>
    <col min="9742" max="9984" width="10.3828125" style="214"/>
    <col min="9985" max="9997" width="11.53515625" style="214" customWidth="1"/>
    <col min="9998" max="10240" width="10.3828125" style="214"/>
    <col min="10241" max="10253" width="11.53515625" style="214" customWidth="1"/>
    <col min="10254" max="10496" width="10.3828125" style="214"/>
    <col min="10497" max="10509" width="11.53515625" style="214" customWidth="1"/>
    <col min="10510" max="10752" width="10.3828125" style="214"/>
    <col min="10753" max="10765" width="11.53515625" style="214" customWidth="1"/>
    <col min="10766" max="11008" width="10.3828125" style="214"/>
    <col min="11009" max="11021" width="11.53515625" style="214" customWidth="1"/>
    <col min="11022" max="11264" width="10.3828125" style="214"/>
    <col min="11265" max="11277" width="11.53515625" style="214" customWidth="1"/>
    <col min="11278" max="11520" width="10.3828125" style="214"/>
    <col min="11521" max="11533" width="11.53515625" style="214" customWidth="1"/>
    <col min="11534" max="11776" width="10.3828125" style="214"/>
    <col min="11777" max="11789" width="11.53515625" style="214" customWidth="1"/>
    <col min="11790" max="12032" width="10.3828125" style="214"/>
    <col min="12033" max="12045" width="11.53515625" style="214" customWidth="1"/>
    <col min="12046" max="12288" width="10.3828125" style="214"/>
    <col min="12289" max="12301" width="11.53515625" style="214" customWidth="1"/>
    <col min="12302" max="12544" width="10.3828125" style="214"/>
    <col min="12545" max="12557" width="11.53515625" style="214" customWidth="1"/>
    <col min="12558" max="12800" width="10.3828125" style="214"/>
    <col min="12801" max="12813" width="11.53515625" style="214" customWidth="1"/>
    <col min="12814" max="13056" width="10.3828125" style="214"/>
    <col min="13057" max="13069" width="11.53515625" style="214" customWidth="1"/>
    <col min="13070" max="13312" width="10.3828125" style="214"/>
    <col min="13313" max="13325" width="11.53515625" style="214" customWidth="1"/>
    <col min="13326" max="13568" width="10.3828125" style="214"/>
    <col min="13569" max="13581" width="11.53515625" style="214" customWidth="1"/>
    <col min="13582" max="13824" width="10.3828125" style="214"/>
    <col min="13825" max="13837" width="11.53515625" style="214" customWidth="1"/>
    <col min="13838" max="14080" width="10.3828125" style="214"/>
    <col min="14081" max="14093" width="11.53515625" style="214" customWidth="1"/>
    <col min="14094" max="14336" width="10.3828125" style="214"/>
    <col min="14337" max="14349" width="11.53515625" style="214" customWidth="1"/>
    <col min="14350" max="14592" width="10.3828125" style="214"/>
    <col min="14593" max="14605" width="11.53515625" style="214" customWidth="1"/>
    <col min="14606" max="14848" width="10.3828125" style="214"/>
    <col min="14849" max="14861" width="11.53515625" style="214" customWidth="1"/>
    <col min="14862" max="15104" width="10.3828125" style="214"/>
    <col min="15105" max="15117" width="11.53515625" style="214" customWidth="1"/>
    <col min="15118" max="15360" width="10.3828125" style="214"/>
    <col min="15361" max="15373" width="11.53515625" style="214" customWidth="1"/>
    <col min="15374" max="15616" width="10.3828125" style="214"/>
    <col min="15617" max="15629" width="11.53515625" style="214" customWidth="1"/>
    <col min="15630" max="15872" width="10.3828125" style="214"/>
    <col min="15873" max="15885" width="11.53515625" style="214" customWidth="1"/>
    <col min="15886" max="16128" width="10.3828125" style="214"/>
    <col min="16129" max="16141" width="11.53515625" style="214" customWidth="1"/>
    <col min="16142" max="16384" width="10.3828125" style="214"/>
  </cols>
  <sheetData>
    <row r="1" spans="1:14" ht="12.9" x14ac:dyDescent="0.35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35">
      <c r="A2" s="348"/>
      <c r="B2" s="348"/>
      <c r="C2" s="348"/>
      <c r="D2" s="348"/>
      <c r="E2" s="348"/>
      <c r="F2" s="365" t="s">
        <v>145</v>
      </c>
      <c r="G2" s="365"/>
      <c r="H2" s="365"/>
      <c r="I2" s="348"/>
      <c r="J2" s="348"/>
      <c r="K2" s="348"/>
      <c r="L2" s="348"/>
      <c r="M2" s="348"/>
      <c r="N2" s="348"/>
    </row>
    <row r="3" spans="1:14" ht="18.75" customHeight="1" x14ac:dyDescent="0.35">
      <c r="A3" s="348"/>
      <c r="B3" s="348"/>
      <c r="C3" s="366" t="s">
        <v>467</v>
      </c>
      <c r="D3" s="366"/>
      <c r="E3" s="366"/>
      <c r="F3" s="366"/>
      <c r="G3" s="366"/>
      <c r="H3" s="366"/>
      <c r="I3" s="366"/>
      <c r="J3" s="366"/>
      <c r="K3" s="366"/>
      <c r="L3" s="348"/>
      <c r="M3" s="348"/>
      <c r="N3" s="348"/>
    </row>
    <row r="4" spans="1:14" ht="18.75" customHeight="1" x14ac:dyDescent="0.35">
      <c r="A4" s="348"/>
      <c r="B4" s="348"/>
      <c r="C4" s="366" t="s">
        <v>468</v>
      </c>
      <c r="D4" s="366"/>
      <c r="E4" s="366"/>
      <c r="F4" s="366"/>
      <c r="G4" s="366"/>
      <c r="H4" s="366"/>
      <c r="I4" s="366"/>
      <c r="J4" s="366"/>
      <c r="K4" s="366"/>
      <c r="L4" s="348"/>
      <c r="M4" s="348"/>
      <c r="N4" s="348"/>
    </row>
    <row r="5" spans="1:14" ht="18.75" customHeight="1" x14ac:dyDescent="0.35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35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35">
      <c r="A7" s="348"/>
      <c r="B7" s="348"/>
      <c r="C7" s="367" t="s">
        <v>147</v>
      </c>
      <c r="D7" s="367"/>
      <c r="E7" s="367"/>
      <c r="F7" s="367"/>
      <c r="G7" s="367"/>
      <c r="H7" s="367"/>
      <c r="I7" s="367"/>
      <c r="J7" s="367"/>
      <c r="K7" s="367"/>
      <c r="L7" s="348"/>
      <c r="M7" s="348"/>
      <c r="N7" s="348"/>
    </row>
    <row r="8" spans="1:14" ht="18.75" customHeight="1" x14ac:dyDescent="0.35">
      <c r="A8" s="348"/>
      <c r="B8" s="348"/>
      <c r="C8" s="368" t="s">
        <v>148</v>
      </c>
      <c r="D8" s="368"/>
      <c r="E8" s="368"/>
      <c r="F8" s="368"/>
      <c r="G8" s="368"/>
      <c r="H8" s="368"/>
      <c r="I8" s="368"/>
      <c r="J8" s="368"/>
      <c r="K8" s="368"/>
      <c r="L8" s="348"/>
      <c r="M8" s="348"/>
      <c r="N8" s="348"/>
    </row>
    <row r="9" spans="1:14" ht="18.75" customHeight="1" x14ac:dyDescent="0.35">
      <c r="A9" s="348"/>
      <c r="B9" s="368" t="s">
        <v>149</v>
      </c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49"/>
      <c r="N9" s="348"/>
    </row>
    <row r="10" spans="1:14" ht="18.75" customHeight="1" x14ac:dyDescent="0.35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ht="12.9" x14ac:dyDescent="0.35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45" x14ac:dyDescent="0.35">
      <c r="A12" s="348"/>
      <c r="B12" s="348"/>
      <c r="C12" s="348"/>
      <c r="D12" s="348"/>
      <c r="E12" s="348"/>
      <c r="F12" s="348"/>
      <c r="G12" s="215" t="s">
        <v>522</v>
      </c>
      <c r="H12" s="348"/>
      <c r="I12" s="348"/>
      <c r="J12" s="348"/>
      <c r="K12" s="348"/>
      <c r="L12" s="348"/>
      <c r="M12" s="348"/>
      <c r="N12" s="348"/>
    </row>
    <row r="13" spans="1:14" ht="12.9" x14ac:dyDescent="0.35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3" thickBot="1" x14ac:dyDescent="0.4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45" x14ac:dyDescent="0.35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35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35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35">
      <c r="A18" s="216"/>
      <c r="B18" s="221"/>
      <c r="C18" s="348"/>
      <c r="D18" s="348"/>
      <c r="E18" s="348"/>
      <c r="F18" s="348"/>
      <c r="G18" s="222" t="s">
        <v>525</v>
      </c>
      <c r="H18" s="348"/>
      <c r="I18" s="348"/>
      <c r="J18" s="348"/>
      <c r="K18" s="348"/>
      <c r="L18" s="223"/>
      <c r="M18" s="348"/>
      <c r="N18" s="348"/>
    </row>
    <row r="19" spans="1:14" ht="15" x14ac:dyDescent="0.35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35">
      <c r="A20" s="216"/>
      <c r="B20" s="221"/>
      <c r="C20" s="348"/>
      <c r="D20" s="348"/>
      <c r="E20" s="348"/>
      <c r="F20" s="348"/>
      <c r="G20" s="222" t="s">
        <v>526</v>
      </c>
      <c r="H20" s="348"/>
      <c r="I20" s="348"/>
      <c r="J20" s="348"/>
      <c r="K20" s="348"/>
      <c r="L20" s="223"/>
      <c r="M20" s="348"/>
      <c r="N20" s="348"/>
    </row>
    <row r="21" spans="1:14" ht="15" x14ac:dyDescent="0.35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35">
      <c r="A22" s="216"/>
      <c r="B22" s="221"/>
      <c r="C22" s="348"/>
      <c r="D22" s="348"/>
      <c r="E22" s="348"/>
      <c r="F22" s="348"/>
      <c r="G22" s="351" t="s">
        <v>527</v>
      </c>
      <c r="H22" s="348"/>
      <c r="I22" s="348"/>
      <c r="J22" s="348"/>
      <c r="K22" s="348"/>
      <c r="L22" s="223"/>
      <c r="M22" s="348"/>
      <c r="N22" s="348"/>
    </row>
    <row r="23" spans="1:14" ht="15" x14ac:dyDescent="0.35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35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35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35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35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35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35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35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35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35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35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35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35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45" x14ac:dyDescent="0.35">
      <c r="A36" s="216"/>
      <c r="B36" s="224"/>
      <c r="C36" s="348"/>
      <c r="D36" s="348"/>
      <c r="E36" s="348"/>
      <c r="F36" s="348"/>
      <c r="G36" s="222" t="s">
        <v>528</v>
      </c>
      <c r="H36" s="348"/>
      <c r="I36" s="348"/>
      <c r="J36" s="348"/>
      <c r="K36" s="348"/>
      <c r="L36" s="223"/>
      <c r="M36" s="348"/>
      <c r="N36" s="348"/>
    </row>
    <row r="37" spans="1:14" ht="15.45" x14ac:dyDescent="0.35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35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35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3" thickBot="1" x14ac:dyDescent="0.4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3">
      <c r="A41" s="369"/>
      <c r="B41" s="369"/>
      <c r="C41" s="369"/>
      <c r="D41" s="369"/>
      <c r="E41" s="369"/>
      <c r="F41" s="369"/>
      <c r="G41" s="369"/>
      <c r="H41" s="364"/>
      <c r="I41" s="364"/>
      <c r="J41" s="364"/>
      <c r="K41" s="364"/>
      <c r="L41" s="364"/>
      <c r="M41" s="364"/>
      <c r="N41" s="364"/>
    </row>
    <row r="42" spans="1:14" x14ac:dyDescent="0.3">
      <c r="A42" s="369"/>
      <c r="B42" s="369"/>
      <c r="C42" s="369"/>
      <c r="D42" s="369"/>
      <c r="E42" s="369"/>
      <c r="F42" s="369"/>
      <c r="G42" s="369"/>
      <c r="H42" s="364"/>
      <c r="I42" s="364"/>
      <c r="J42" s="364"/>
      <c r="K42" s="364"/>
      <c r="L42" s="364"/>
      <c r="M42" s="364"/>
      <c r="N42" s="364"/>
    </row>
    <row r="43" spans="1:14" ht="12.9" x14ac:dyDescent="0.35">
      <c r="A43" s="225"/>
      <c r="B43" s="225"/>
      <c r="C43" s="225"/>
      <c r="D43" s="225"/>
      <c r="E43" s="225"/>
      <c r="F43" s="225"/>
      <c r="G43" s="225"/>
      <c r="H43" s="364"/>
      <c r="I43" s="364"/>
      <c r="J43" s="364"/>
      <c r="K43" s="364"/>
      <c r="L43" s="364"/>
      <c r="M43" s="364"/>
      <c r="N43" s="364"/>
    </row>
    <row r="44" spans="1:14" ht="12.9" x14ac:dyDescent="0.35">
      <c r="A44" s="225"/>
      <c r="B44" s="225"/>
      <c r="C44" s="225"/>
      <c r="D44" s="225"/>
      <c r="E44" s="225"/>
      <c r="F44" s="225"/>
      <c r="G44" s="225"/>
      <c r="H44" s="364"/>
      <c r="I44" s="364"/>
      <c r="J44" s="364"/>
      <c r="K44" s="364"/>
      <c r="L44" s="364"/>
      <c r="M44" s="364"/>
      <c r="N44" s="364"/>
    </row>
    <row r="45" spans="1:14" ht="12.9" x14ac:dyDescent="0.35">
      <c r="A45" s="225"/>
      <c r="B45" s="225"/>
      <c r="C45" s="225"/>
      <c r="D45" s="225"/>
      <c r="E45" s="225"/>
      <c r="F45" s="225"/>
      <c r="G45" s="225"/>
      <c r="H45" s="364"/>
      <c r="I45" s="364"/>
      <c r="J45" s="364"/>
      <c r="K45" s="364"/>
      <c r="L45" s="364"/>
      <c r="M45" s="364"/>
      <c r="N45" s="364"/>
    </row>
    <row r="46" spans="1:14" ht="12.9" x14ac:dyDescent="0.35">
      <c r="A46" s="225"/>
      <c r="B46" s="225"/>
      <c r="C46" s="225"/>
      <c r="D46" s="225"/>
      <c r="E46" s="225"/>
      <c r="F46" s="225"/>
      <c r="G46" s="225"/>
      <c r="H46" s="364"/>
      <c r="I46" s="364"/>
      <c r="J46" s="364"/>
      <c r="K46" s="364"/>
      <c r="L46" s="364"/>
      <c r="M46" s="364"/>
      <c r="N46" s="364"/>
    </row>
    <row r="47" spans="1:14" ht="12.9" x14ac:dyDescent="0.35">
      <c r="A47" s="225"/>
      <c r="B47" s="225"/>
      <c r="C47" s="225"/>
      <c r="D47" s="225"/>
      <c r="E47" s="225"/>
      <c r="F47" s="225"/>
      <c r="G47" s="225"/>
      <c r="H47" s="364"/>
      <c r="I47" s="364"/>
      <c r="J47" s="364"/>
      <c r="K47" s="364"/>
      <c r="L47" s="364"/>
      <c r="M47" s="364"/>
      <c r="N47" s="364"/>
    </row>
    <row r="48" spans="1:14" ht="12.9" x14ac:dyDescent="0.35">
      <c r="A48" s="225"/>
      <c r="B48" s="225"/>
      <c r="C48" s="225"/>
      <c r="D48" s="225"/>
      <c r="E48" s="225"/>
      <c r="F48" s="225"/>
      <c r="G48" s="225"/>
      <c r="H48" s="364"/>
      <c r="I48" s="364"/>
      <c r="J48" s="364"/>
      <c r="K48" s="364"/>
      <c r="L48" s="364"/>
      <c r="M48" s="364"/>
      <c r="N48" s="364"/>
    </row>
    <row r="49" spans="1:14" ht="12.9" x14ac:dyDescent="0.35">
      <c r="A49" s="225"/>
      <c r="B49" s="225"/>
      <c r="C49" s="225"/>
      <c r="D49" s="225"/>
      <c r="E49" s="225"/>
      <c r="F49" s="225"/>
      <c r="G49" s="225"/>
      <c r="H49" s="364"/>
      <c r="I49" s="364"/>
      <c r="J49" s="364"/>
      <c r="K49" s="364"/>
      <c r="L49" s="364"/>
      <c r="M49" s="364"/>
      <c r="N49" s="364"/>
    </row>
    <row r="50" spans="1:14" ht="12.9" x14ac:dyDescent="0.35">
      <c r="A50" s="225"/>
      <c r="B50" s="225"/>
      <c r="C50" s="225"/>
      <c r="D50" s="225"/>
      <c r="E50" s="225"/>
      <c r="F50" s="225"/>
      <c r="G50" s="225"/>
      <c r="H50" s="364"/>
      <c r="I50" s="364"/>
      <c r="J50" s="364"/>
      <c r="K50" s="364"/>
      <c r="L50" s="364"/>
      <c r="M50" s="364"/>
      <c r="N50" s="364"/>
    </row>
    <row r="51" spans="1:14" ht="12.9" x14ac:dyDescent="0.35">
      <c r="A51" s="225"/>
      <c r="B51" s="225"/>
      <c r="C51" s="225"/>
      <c r="D51" s="225"/>
      <c r="E51" s="225"/>
      <c r="F51" s="225"/>
      <c r="G51" s="225"/>
      <c r="H51" s="364"/>
      <c r="I51" s="364"/>
      <c r="J51" s="364"/>
      <c r="K51" s="364"/>
      <c r="L51" s="364"/>
      <c r="M51" s="364"/>
      <c r="N51" s="364"/>
    </row>
    <row r="52" spans="1:14" ht="12.9" x14ac:dyDescent="0.35">
      <c r="A52" s="225"/>
      <c r="B52" s="225"/>
      <c r="C52" s="225"/>
      <c r="D52" s="225"/>
      <c r="E52" s="225"/>
      <c r="F52" s="225"/>
      <c r="G52" s="225"/>
      <c r="H52" s="364"/>
      <c r="I52" s="364"/>
      <c r="J52" s="364"/>
      <c r="K52" s="364"/>
      <c r="L52" s="364"/>
      <c r="M52" s="364"/>
      <c r="N52" s="364"/>
    </row>
    <row r="53" spans="1:14" ht="12.9" x14ac:dyDescent="0.35">
      <c r="A53" s="225"/>
      <c r="B53" s="225"/>
      <c r="C53" s="225"/>
      <c r="D53" s="225"/>
      <c r="E53" s="225"/>
      <c r="F53" s="225"/>
      <c r="G53" s="225"/>
      <c r="H53" s="364"/>
      <c r="I53" s="364"/>
      <c r="J53" s="364"/>
      <c r="K53" s="364"/>
      <c r="L53" s="364"/>
      <c r="M53" s="364"/>
      <c r="N53" s="364"/>
    </row>
    <row r="54" spans="1:14" ht="12.9" x14ac:dyDescent="0.35">
      <c r="A54" s="225"/>
      <c r="B54" s="225"/>
      <c r="C54" s="225"/>
      <c r="D54" s="225"/>
      <c r="E54" s="225"/>
      <c r="F54" s="225"/>
      <c r="G54" s="225"/>
      <c r="H54" s="364"/>
      <c r="I54" s="364"/>
      <c r="J54" s="364"/>
      <c r="K54" s="364"/>
      <c r="L54" s="364"/>
      <c r="M54" s="364"/>
      <c r="N54" s="364"/>
    </row>
    <row r="55" spans="1:14" ht="12.9" x14ac:dyDescent="0.35">
      <c r="A55" s="225"/>
      <c r="B55" s="225"/>
      <c r="C55" s="225"/>
      <c r="D55" s="225"/>
      <c r="E55" s="225"/>
      <c r="F55" s="225"/>
      <c r="G55" s="225"/>
      <c r="H55" s="364"/>
      <c r="I55" s="364"/>
      <c r="J55" s="364"/>
      <c r="K55" s="364"/>
      <c r="L55" s="364"/>
      <c r="M55" s="364"/>
      <c r="N55" s="364"/>
    </row>
    <row r="56" spans="1:14" ht="12.9" x14ac:dyDescent="0.35">
      <c r="A56" s="225"/>
      <c r="B56" s="225"/>
      <c r="C56" s="225"/>
      <c r="D56" s="225"/>
      <c r="E56" s="225"/>
      <c r="F56" s="225"/>
      <c r="G56" s="225"/>
      <c r="H56" s="364"/>
      <c r="I56" s="364"/>
      <c r="J56" s="364"/>
      <c r="K56" s="364"/>
      <c r="L56" s="364"/>
      <c r="M56" s="364"/>
      <c r="N56" s="364"/>
    </row>
    <row r="57" spans="1:14" ht="12.9" x14ac:dyDescent="0.35">
      <c r="A57" s="225"/>
      <c r="B57" s="225"/>
      <c r="C57" s="225"/>
      <c r="D57" s="225"/>
      <c r="E57" s="225"/>
      <c r="F57" s="225"/>
      <c r="G57" s="225"/>
      <c r="H57" s="364"/>
      <c r="I57" s="364"/>
      <c r="J57" s="364"/>
      <c r="K57" s="364"/>
      <c r="L57" s="364"/>
      <c r="M57" s="364"/>
      <c r="N57" s="364"/>
    </row>
    <row r="58" spans="1:14" ht="12.9" x14ac:dyDescent="0.35">
      <c r="A58" s="225"/>
      <c r="B58" s="225"/>
      <c r="C58" s="225"/>
      <c r="D58" s="225"/>
      <c r="E58" s="225"/>
      <c r="F58" s="225"/>
      <c r="G58" s="225"/>
      <c r="H58" s="364"/>
      <c r="I58" s="364"/>
      <c r="J58" s="364"/>
      <c r="K58" s="364"/>
      <c r="L58" s="364"/>
      <c r="M58" s="364"/>
      <c r="N58" s="364"/>
    </row>
    <row r="59" spans="1:14" ht="12.9" x14ac:dyDescent="0.35">
      <c r="A59" s="225"/>
      <c r="B59" s="225"/>
      <c r="C59" s="225"/>
      <c r="D59" s="225"/>
      <c r="E59" s="225"/>
      <c r="F59" s="225"/>
      <c r="G59" s="225"/>
      <c r="H59" s="364"/>
      <c r="I59" s="364"/>
      <c r="J59" s="364"/>
      <c r="K59" s="364"/>
      <c r="L59" s="364"/>
      <c r="M59" s="364"/>
      <c r="N59" s="364"/>
    </row>
    <row r="60" spans="1:14" ht="12.9" x14ac:dyDescent="0.35">
      <c r="A60" s="225"/>
      <c r="B60" s="225"/>
      <c r="C60" s="225"/>
      <c r="D60" s="225"/>
      <c r="E60" s="225"/>
      <c r="F60" s="225"/>
      <c r="G60" s="225"/>
      <c r="H60" s="364"/>
      <c r="I60" s="364"/>
      <c r="J60" s="364"/>
      <c r="K60" s="364"/>
      <c r="L60" s="364"/>
      <c r="M60" s="364"/>
      <c r="N60" s="364"/>
    </row>
    <row r="61" spans="1:14" ht="12.9" x14ac:dyDescent="0.35">
      <c r="A61" s="225"/>
      <c r="B61" s="225"/>
      <c r="C61" s="225"/>
      <c r="D61" s="225"/>
      <c r="E61" s="225"/>
      <c r="F61" s="225"/>
      <c r="G61" s="225"/>
      <c r="H61" s="364"/>
      <c r="I61" s="364"/>
      <c r="J61" s="364"/>
      <c r="K61" s="364"/>
      <c r="L61" s="364"/>
      <c r="M61" s="364"/>
      <c r="N61" s="364"/>
    </row>
    <row r="62" spans="1:14" ht="12.9" x14ac:dyDescent="0.35">
      <c r="A62" s="225"/>
      <c r="B62" s="225"/>
      <c r="C62" s="225"/>
      <c r="D62" s="225"/>
      <c r="E62" s="225"/>
      <c r="F62" s="225"/>
      <c r="G62" s="225"/>
      <c r="H62" s="364"/>
      <c r="I62" s="364"/>
      <c r="J62" s="364"/>
      <c r="K62" s="364"/>
      <c r="L62" s="364"/>
      <c r="M62" s="364"/>
      <c r="N62" s="364"/>
    </row>
    <row r="63" spans="1:14" ht="12.9" x14ac:dyDescent="0.35">
      <c r="A63" s="225"/>
      <c r="B63" s="225"/>
      <c r="C63" s="225"/>
      <c r="D63" s="225"/>
      <c r="E63" s="225"/>
      <c r="F63" s="225"/>
      <c r="G63" s="225"/>
      <c r="H63" s="364"/>
      <c r="I63" s="364"/>
      <c r="J63" s="364"/>
      <c r="K63" s="364"/>
      <c r="L63" s="364"/>
      <c r="M63" s="364"/>
      <c r="N63" s="364"/>
    </row>
    <row r="64" spans="1:14" ht="12.9" x14ac:dyDescent="0.35">
      <c r="A64" s="225"/>
      <c r="B64" s="225"/>
      <c r="C64" s="225"/>
      <c r="D64" s="225"/>
      <c r="E64" s="225"/>
      <c r="F64" s="225"/>
      <c r="G64" s="225"/>
      <c r="H64" s="364"/>
      <c r="I64" s="364"/>
      <c r="J64" s="364"/>
      <c r="K64" s="364"/>
      <c r="L64" s="364"/>
      <c r="M64" s="364"/>
      <c r="N64" s="364"/>
    </row>
    <row r="65" spans="1:14" ht="12.9" x14ac:dyDescent="0.35">
      <c r="A65" s="225"/>
      <c r="B65" s="225"/>
      <c r="C65" s="225"/>
      <c r="D65" s="225"/>
      <c r="E65" s="225"/>
      <c r="F65" s="225"/>
      <c r="G65" s="225"/>
      <c r="H65" s="364"/>
      <c r="I65" s="364"/>
      <c r="J65" s="364"/>
      <c r="K65" s="364"/>
      <c r="L65" s="364"/>
      <c r="M65" s="364"/>
      <c r="N65" s="364"/>
    </row>
    <row r="66" spans="1:14" ht="12.9" x14ac:dyDescent="0.35">
      <c r="A66" s="225"/>
      <c r="B66" s="225"/>
      <c r="C66" s="225"/>
      <c r="D66" s="225"/>
      <c r="E66" s="225"/>
      <c r="F66" s="225"/>
      <c r="G66" s="225"/>
      <c r="H66" s="364"/>
      <c r="I66" s="364"/>
      <c r="J66" s="364"/>
      <c r="K66" s="364"/>
      <c r="L66" s="364"/>
      <c r="M66" s="364"/>
      <c r="N66" s="364"/>
    </row>
    <row r="67" spans="1:14" ht="12.9" x14ac:dyDescent="0.35">
      <c r="A67" s="225"/>
      <c r="B67" s="225"/>
      <c r="C67" s="225"/>
      <c r="D67" s="225"/>
      <c r="E67" s="225"/>
      <c r="F67" s="225"/>
      <c r="G67" s="225"/>
      <c r="H67" s="364"/>
      <c r="I67" s="364"/>
      <c r="J67" s="364"/>
      <c r="K67" s="364"/>
      <c r="L67" s="364"/>
      <c r="M67" s="364"/>
      <c r="N67" s="364"/>
    </row>
    <row r="68" spans="1:14" ht="12.9" x14ac:dyDescent="0.35">
      <c r="A68" s="225"/>
      <c r="B68" s="225"/>
      <c r="C68" s="225"/>
      <c r="D68" s="225"/>
      <c r="E68" s="225"/>
      <c r="F68" s="225"/>
      <c r="G68" s="225"/>
      <c r="H68" s="364"/>
      <c r="I68" s="364"/>
      <c r="J68" s="364"/>
      <c r="K68" s="364"/>
      <c r="L68" s="364"/>
      <c r="M68" s="364"/>
      <c r="N68" s="364"/>
    </row>
    <row r="69" spans="1:14" ht="12.9" x14ac:dyDescent="0.35">
      <c r="A69" s="225"/>
      <c r="B69" s="225"/>
      <c r="C69" s="225"/>
      <c r="D69" s="225"/>
      <c r="E69" s="225"/>
      <c r="F69" s="225"/>
      <c r="G69" s="225"/>
      <c r="H69" s="364"/>
      <c r="I69" s="364"/>
      <c r="J69" s="364"/>
      <c r="K69" s="364"/>
      <c r="L69" s="364"/>
      <c r="M69" s="364"/>
      <c r="N69" s="364"/>
    </row>
    <row r="70" spans="1:14" ht="12.9" x14ac:dyDescent="0.35">
      <c r="A70" s="225"/>
      <c r="B70" s="225"/>
      <c r="C70" s="225"/>
      <c r="D70" s="225"/>
      <c r="E70" s="225"/>
      <c r="F70" s="225"/>
      <c r="G70" s="225"/>
      <c r="H70" s="364"/>
      <c r="I70" s="364"/>
      <c r="J70" s="364"/>
      <c r="K70" s="364"/>
      <c r="L70" s="364"/>
      <c r="M70" s="364"/>
      <c r="N70" s="364"/>
    </row>
    <row r="71" spans="1:14" ht="12.9" x14ac:dyDescent="0.35">
      <c r="A71" s="225"/>
      <c r="B71" s="225"/>
      <c r="C71" s="225"/>
      <c r="D71" s="225"/>
      <c r="E71" s="225"/>
      <c r="F71" s="225"/>
      <c r="G71" s="225"/>
      <c r="H71" s="364"/>
      <c r="I71" s="364"/>
      <c r="J71" s="364"/>
      <c r="K71" s="364"/>
      <c r="L71" s="364"/>
      <c r="M71" s="364"/>
      <c r="N71" s="364"/>
    </row>
    <row r="72" spans="1:14" ht="12.9" x14ac:dyDescent="0.35">
      <c r="A72" s="225"/>
      <c r="B72" s="225"/>
      <c r="C72" s="225"/>
      <c r="D72" s="225"/>
      <c r="E72" s="225"/>
      <c r="F72" s="225"/>
      <c r="G72" s="225"/>
      <c r="H72" s="364"/>
      <c r="I72" s="364"/>
      <c r="J72" s="364"/>
      <c r="K72" s="364"/>
      <c r="L72" s="364"/>
      <c r="M72" s="364"/>
      <c r="N72" s="364"/>
    </row>
    <row r="73" spans="1:14" ht="12.9" x14ac:dyDescent="0.35">
      <c r="A73" s="225"/>
      <c r="B73" s="225"/>
      <c r="C73" s="225"/>
      <c r="D73" s="225"/>
      <c r="E73" s="225"/>
      <c r="F73" s="225"/>
      <c r="G73" s="225"/>
      <c r="H73" s="364"/>
      <c r="I73" s="364"/>
      <c r="J73" s="364"/>
      <c r="K73" s="364"/>
      <c r="L73" s="364"/>
      <c r="M73" s="364"/>
      <c r="N73" s="364"/>
    </row>
    <row r="74" spans="1:14" ht="12.9" x14ac:dyDescent="0.35">
      <c r="A74" s="225"/>
      <c r="B74" s="225"/>
      <c r="C74" s="225"/>
      <c r="D74" s="225"/>
      <c r="E74" s="225"/>
      <c r="F74" s="225"/>
      <c r="G74" s="225"/>
      <c r="H74" s="364"/>
      <c r="I74" s="364"/>
      <c r="J74" s="364"/>
      <c r="K74" s="364"/>
      <c r="L74" s="364"/>
      <c r="M74" s="364"/>
      <c r="N74" s="364"/>
    </row>
    <row r="75" spans="1:14" ht="12.9" x14ac:dyDescent="0.35">
      <c r="A75" s="225"/>
      <c r="B75" s="225"/>
      <c r="C75" s="225"/>
      <c r="D75" s="225"/>
      <c r="E75" s="225"/>
      <c r="F75" s="225"/>
      <c r="G75" s="225"/>
      <c r="H75" s="364"/>
      <c r="I75" s="364"/>
      <c r="J75" s="364"/>
      <c r="K75" s="364"/>
      <c r="L75" s="364"/>
      <c r="M75" s="364"/>
      <c r="N75" s="364"/>
    </row>
    <row r="76" spans="1:14" ht="12.9" x14ac:dyDescent="0.35">
      <c r="A76" s="225"/>
      <c r="B76" s="225"/>
      <c r="C76" s="225"/>
      <c r="D76" s="225"/>
      <c r="E76" s="225"/>
      <c r="F76" s="225"/>
      <c r="G76" s="225"/>
      <c r="H76" s="364"/>
      <c r="I76" s="364"/>
      <c r="J76" s="364"/>
      <c r="K76" s="364"/>
      <c r="L76" s="364"/>
      <c r="M76" s="364"/>
      <c r="N76" s="364"/>
    </row>
    <row r="77" spans="1:14" ht="12.9" x14ac:dyDescent="0.35">
      <c r="A77" s="225"/>
      <c r="B77" s="225"/>
      <c r="C77" s="225"/>
      <c r="D77" s="225"/>
      <c r="E77" s="225"/>
      <c r="F77" s="225"/>
      <c r="G77" s="225"/>
      <c r="H77" s="364"/>
      <c r="I77" s="364"/>
      <c r="J77" s="364"/>
      <c r="K77" s="364"/>
      <c r="L77" s="364"/>
      <c r="M77" s="364"/>
      <c r="N77" s="364"/>
    </row>
    <row r="78" spans="1:14" ht="12.9" x14ac:dyDescent="0.35">
      <c r="A78" s="225"/>
      <c r="B78" s="225"/>
      <c r="C78" s="225"/>
      <c r="D78" s="225"/>
      <c r="E78" s="225"/>
      <c r="F78" s="225"/>
      <c r="G78" s="225"/>
      <c r="H78" s="364"/>
      <c r="I78" s="364"/>
      <c r="J78" s="364"/>
      <c r="K78" s="364"/>
      <c r="L78" s="364"/>
      <c r="M78" s="364"/>
      <c r="N78" s="364"/>
    </row>
    <row r="79" spans="1:14" ht="12.9" x14ac:dyDescent="0.35">
      <c r="A79" s="225"/>
      <c r="B79" s="225"/>
      <c r="C79" s="225"/>
      <c r="D79" s="225"/>
      <c r="E79" s="225"/>
      <c r="F79" s="225"/>
      <c r="G79" s="225"/>
      <c r="H79" s="364"/>
      <c r="I79" s="364"/>
      <c r="J79" s="364"/>
      <c r="K79" s="364"/>
      <c r="L79" s="364"/>
      <c r="M79" s="364"/>
      <c r="N79" s="364"/>
    </row>
    <row r="80" spans="1:14" ht="12.9" x14ac:dyDescent="0.35">
      <c r="A80" s="225"/>
      <c r="B80" s="225"/>
      <c r="C80" s="225"/>
      <c r="D80" s="225"/>
      <c r="E80" s="225"/>
      <c r="F80" s="225"/>
      <c r="G80" s="225"/>
      <c r="H80" s="364"/>
      <c r="I80" s="364"/>
      <c r="J80" s="364"/>
      <c r="K80" s="364"/>
      <c r="L80" s="364"/>
      <c r="M80" s="364"/>
      <c r="N80" s="364"/>
    </row>
    <row r="81" spans="1:14" ht="12.9" x14ac:dyDescent="0.35">
      <c r="A81" s="225"/>
      <c r="B81" s="225"/>
      <c r="C81" s="225"/>
      <c r="D81" s="225"/>
      <c r="E81" s="225"/>
      <c r="F81" s="225"/>
      <c r="G81" s="225"/>
      <c r="H81" s="364"/>
      <c r="I81" s="364"/>
      <c r="J81" s="364"/>
      <c r="K81" s="364"/>
      <c r="L81" s="364"/>
      <c r="M81" s="364"/>
      <c r="N81" s="364"/>
    </row>
    <row r="82" spans="1:14" ht="12.9" x14ac:dyDescent="0.35">
      <c r="A82" s="225"/>
      <c r="B82" s="225"/>
      <c r="C82" s="225"/>
      <c r="D82" s="225"/>
      <c r="E82" s="225"/>
      <c r="F82" s="225"/>
      <c r="G82" s="225"/>
      <c r="H82" s="364"/>
      <c r="I82" s="364"/>
      <c r="J82" s="364"/>
      <c r="K82" s="364"/>
      <c r="L82" s="364"/>
      <c r="M82" s="364"/>
      <c r="N82" s="364"/>
    </row>
    <row r="83" spans="1:14" ht="12.9" x14ac:dyDescent="0.35">
      <c r="A83" s="225"/>
      <c r="B83" s="225"/>
      <c r="C83" s="225"/>
      <c r="D83" s="225"/>
      <c r="E83" s="225"/>
      <c r="F83" s="225"/>
      <c r="G83" s="225"/>
      <c r="H83" s="364"/>
      <c r="I83" s="364"/>
      <c r="J83" s="364"/>
      <c r="K83" s="364"/>
      <c r="L83" s="364"/>
      <c r="M83" s="364"/>
      <c r="N83" s="364"/>
    </row>
    <row r="84" spans="1:14" ht="12.9" x14ac:dyDescent="0.35">
      <c r="A84" s="225"/>
      <c r="B84" s="225"/>
      <c r="C84" s="225"/>
      <c r="D84" s="225"/>
      <c r="E84" s="225"/>
      <c r="F84" s="225"/>
      <c r="G84" s="225"/>
      <c r="H84" s="364"/>
      <c r="I84" s="364"/>
      <c r="J84" s="364"/>
      <c r="K84" s="364"/>
      <c r="L84" s="364"/>
      <c r="M84" s="364"/>
      <c r="N84" s="364"/>
    </row>
    <row r="85" spans="1:14" ht="12.9" x14ac:dyDescent="0.35">
      <c r="A85" s="225"/>
      <c r="B85" s="225"/>
      <c r="C85" s="225"/>
      <c r="D85" s="225"/>
      <c r="E85" s="225"/>
      <c r="F85" s="225"/>
      <c r="G85" s="225"/>
      <c r="H85" s="364"/>
      <c r="I85" s="364"/>
      <c r="J85" s="364"/>
      <c r="K85" s="364"/>
      <c r="L85" s="364"/>
      <c r="M85" s="364"/>
      <c r="N85" s="364"/>
    </row>
    <row r="86" spans="1:14" ht="12.9" x14ac:dyDescent="0.35">
      <c r="A86" s="225"/>
      <c r="B86" s="225"/>
      <c r="C86" s="225"/>
      <c r="D86" s="225"/>
      <c r="E86" s="225"/>
      <c r="F86" s="225"/>
      <c r="G86" s="225"/>
      <c r="H86" s="364"/>
      <c r="I86" s="364"/>
      <c r="J86" s="364"/>
      <c r="K86" s="364"/>
      <c r="L86" s="364"/>
      <c r="M86" s="364"/>
      <c r="N86" s="364"/>
    </row>
    <row r="87" spans="1:14" ht="12.9" x14ac:dyDescent="0.35">
      <c r="A87" s="225"/>
      <c r="B87" s="225"/>
      <c r="C87" s="225"/>
      <c r="D87" s="225"/>
      <c r="E87" s="225"/>
      <c r="F87" s="225"/>
      <c r="G87" s="225"/>
      <c r="H87" s="364"/>
      <c r="I87" s="364"/>
      <c r="J87" s="364"/>
      <c r="K87" s="364"/>
      <c r="L87" s="364"/>
      <c r="M87" s="364"/>
      <c r="N87" s="364"/>
    </row>
    <row r="88" spans="1:14" ht="12.9" x14ac:dyDescent="0.35">
      <c r="A88" s="225"/>
      <c r="B88" s="225"/>
      <c r="C88" s="225"/>
      <c r="D88" s="225"/>
      <c r="E88" s="225"/>
      <c r="F88" s="225"/>
      <c r="G88" s="225"/>
      <c r="H88" s="364"/>
      <c r="I88" s="364"/>
      <c r="J88" s="364"/>
      <c r="K88" s="364"/>
      <c r="L88" s="364"/>
      <c r="M88" s="364"/>
      <c r="N88" s="364"/>
    </row>
    <row r="89" spans="1:14" ht="12.9" x14ac:dyDescent="0.35">
      <c r="A89" s="225"/>
      <c r="B89" s="225"/>
      <c r="C89" s="225"/>
      <c r="D89" s="225"/>
      <c r="E89" s="225"/>
      <c r="F89" s="225"/>
      <c r="G89" s="225"/>
      <c r="H89" s="364"/>
      <c r="I89" s="364"/>
      <c r="J89" s="364"/>
      <c r="K89" s="364"/>
      <c r="L89" s="364"/>
      <c r="M89" s="364"/>
      <c r="N89" s="364"/>
    </row>
    <row r="90" spans="1:14" ht="12.9" x14ac:dyDescent="0.35">
      <c r="A90" s="225"/>
      <c r="B90" s="225"/>
      <c r="C90" s="225"/>
      <c r="D90" s="225"/>
      <c r="E90" s="225"/>
      <c r="F90" s="225"/>
      <c r="G90" s="225"/>
      <c r="H90" s="364"/>
      <c r="I90" s="364"/>
      <c r="J90" s="364"/>
      <c r="K90" s="364"/>
      <c r="L90" s="364"/>
      <c r="M90" s="364"/>
      <c r="N90" s="364"/>
    </row>
    <row r="91" spans="1:14" ht="12.9" x14ac:dyDescent="0.35">
      <c r="A91" s="225"/>
      <c r="B91" s="225"/>
      <c r="C91" s="225"/>
      <c r="D91" s="225"/>
      <c r="E91" s="225"/>
      <c r="F91" s="225"/>
      <c r="G91" s="225"/>
      <c r="H91" s="364"/>
      <c r="I91" s="364"/>
      <c r="J91" s="364"/>
      <c r="K91" s="364"/>
      <c r="L91" s="364"/>
      <c r="M91" s="364"/>
      <c r="N91" s="364"/>
    </row>
    <row r="92" spans="1:14" ht="12.9" x14ac:dyDescent="0.35">
      <c r="A92" s="225"/>
      <c r="B92" s="225"/>
      <c r="C92" s="225"/>
      <c r="D92" s="225"/>
      <c r="E92" s="225"/>
      <c r="F92" s="225"/>
      <c r="G92" s="225"/>
      <c r="H92" s="364"/>
      <c r="I92" s="364"/>
      <c r="J92" s="364"/>
      <c r="K92" s="364"/>
      <c r="L92" s="364"/>
      <c r="M92" s="364"/>
      <c r="N92" s="364"/>
    </row>
    <row r="93" spans="1:14" ht="12.9" x14ac:dyDescent="0.35">
      <c r="A93" s="225"/>
      <c r="B93" s="225"/>
      <c r="C93" s="225"/>
      <c r="D93" s="225"/>
      <c r="E93" s="225"/>
      <c r="F93" s="225"/>
      <c r="G93" s="225"/>
      <c r="H93" s="364"/>
      <c r="I93" s="364"/>
      <c r="J93" s="364"/>
      <c r="K93" s="364"/>
      <c r="L93" s="364"/>
      <c r="M93" s="364"/>
      <c r="N93" s="364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45" x14ac:dyDescent="0.3"/>
  <cols>
    <col min="1" max="1" width="18.15234375" customWidth="1"/>
    <col min="2" max="2" width="25.69140625" customWidth="1"/>
  </cols>
  <sheetData>
    <row r="1" spans="1:2" x14ac:dyDescent="0.3">
      <c r="A1" t="s">
        <v>542</v>
      </c>
      <c r="B1" t="s">
        <v>543</v>
      </c>
    </row>
    <row r="2" spans="1:2" x14ac:dyDescent="0.3">
      <c r="A2" t="s">
        <v>446</v>
      </c>
      <c r="B2" t="s">
        <v>447</v>
      </c>
    </row>
    <row r="3" spans="1:2" x14ac:dyDescent="0.3">
      <c r="A3" t="s">
        <v>448</v>
      </c>
      <c r="B3" t="s">
        <v>519</v>
      </c>
    </row>
    <row r="4" spans="1:2" x14ac:dyDescent="0.3">
      <c r="A4" t="s">
        <v>520</v>
      </c>
      <c r="B4" s="363">
        <v>44967.612708333334</v>
      </c>
    </row>
    <row r="5" spans="1:2" x14ac:dyDescent="0.3">
      <c r="A5" t="s">
        <v>544</v>
      </c>
      <c r="B5" t="s">
        <v>545</v>
      </c>
    </row>
    <row r="6" spans="1:2" x14ac:dyDescent="0.3">
      <c r="A6" t="s">
        <v>121</v>
      </c>
      <c r="B6" t="s">
        <v>546</v>
      </c>
    </row>
    <row r="40" spans="7:7" x14ac:dyDescent="0.3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45" x14ac:dyDescent="0.3"/>
  <cols>
    <col min="1" max="1" width="3.3828125" customWidth="1"/>
    <col min="2" max="2" width="18.3046875" customWidth="1"/>
    <col min="3" max="4" width="6.15234375" customWidth="1"/>
    <col min="5" max="5" width="6.3046875" customWidth="1"/>
    <col min="6" max="6" width="9.3046875" customWidth="1"/>
    <col min="7" max="7" width="6.15234375" customWidth="1"/>
    <col min="8" max="8" width="10.3828125" customWidth="1"/>
  </cols>
  <sheetData>
    <row r="1" spans="1:52" x14ac:dyDescent="0.3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149999999999999" x14ac:dyDescent="0.5">
      <c r="B2" s="174" t="s">
        <v>97</v>
      </c>
    </row>
    <row r="4" spans="1:52" x14ac:dyDescent="0.3">
      <c r="B4" s="82" t="s">
        <v>96</v>
      </c>
      <c r="C4" t="str">
        <f>Stored!B11</f>
        <v>M:/IE/Projects/Nuffield via NFER AI and automation/Data/Results/Workbooks/EN/EN_Database.Main.xlsx</v>
      </c>
    </row>
    <row r="5" spans="1:52" x14ac:dyDescent="0.3">
      <c r="B5" s="82"/>
    </row>
    <row r="6" spans="1:52" ht="22.5" customHeight="1" x14ac:dyDescent="0.3">
      <c r="B6" s="175" t="s">
        <v>137</v>
      </c>
      <c r="C6" s="175"/>
      <c r="D6" s="199"/>
    </row>
    <row r="7" spans="1:52" ht="15.75" customHeight="1" x14ac:dyDescent="0.3">
      <c r="B7" s="52"/>
      <c r="C7" s="53"/>
      <c r="D7" s="54"/>
    </row>
    <row r="8" spans="1:52" ht="21" customHeight="1" x14ac:dyDescent="0.3">
      <c r="B8" s="55"/>
      <c r="C8" s="198"/>
      <c r="D8" s="56"/>
    </row>
    <row r="10" spans="1:52" ht="17.25" customHeight="1" x14ac:dyDescent="0.3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3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2.9" thickBot="1" x14ac:dyDescent="0.3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2.9" thickBot="1" x14ac:dyDescent="0.3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3">
      <c r="A14" s="82"/>
    </row>
    <row r="16" spans="1:52" ht="45.75" customHeight="1" x14ac:dyDescent="0.3"/>
    <row r="17" spans="5:5" ht="15.75" customHeight="1" x14ac:dyDescent="0.3">
      <c r="E17" s="53"/>
    </row>
    <row r="18" spans="5:5" ht="24" customHeight="1" x14ac:dyDescent="0.3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87086</xdr:colOff>
                <xdr:row>6</xdr:row>
                <xdr:rowOff>87086</xdr:rowOff>
              </from>
              <to>
                <xdr:col>1</xdr:col>
                <xdr:colOff>658586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97971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tabSelected="1" topLeftCell="A19" workbookViewId="0">
      <selection activeCell="A16" sqref="A16"/>
    </sheetView>
  </sheetViews>
  <sheetFormatPr defaultColWidth="9.15234375" defaultRowHeight="12.45" x14ac:dyDescent="0.3"/>
  <cols>
    <col min="1" max="1" width="14.15234375" customWidth="1"/>
    <col min="2" max="2" width="100.84375" customWidth="1"/>
    <col min="3" max="3" width="9.15234375" customWidth="1"/>
  </cols>
  <sheetData>
    <row r="1" spans="1:2" ht="14.15" x14ac:dyDescent="0.35">
      <c r="A1" s="213" t="s">
        <v>144</v>
      </c>
    </row>
    <row r="2" spans="1:2" x14ac:dyDescent="0.3">
      <c r="A2" s="82" t="s">
        <v>142</v>
      </c>
    </row>
    <row r="3" spans="1:2" s="1" customFormat="1" x14ac:dyDescent="0.3">
      <c r="A3" s="208"/>
      <c r="B3" s="208"/>
    </row>
    <row r="4" spans="1:2" s="82" customFormat="1" x14ac:dyDescent="0.3">
      <c r="A4" s="209" t="s">
        <v>143</v>
      </c>
      <c r="B4" s="209" t="s">
        <v>144</v>
      </c>
    </row>
    <row r="5" spans="1:2" x14ac:dyDescent="0.3">
      <c r="A5" s="210" t="s">
        <v>381</v>
      </c>
      <c r="B5" s="211" t="s">
        <v>384</v>
      </c>
    </row>
    <row r="6" spans="1:2" x14ac:dyDescent="0.3">
      <c r="A6" s="210" t="s">
        <v>382</v>
      </c>
      <c r="B6" s="211" t="s">
        <v>385</v>
      </c>
    </row>
    <row r="7" spans="1:2" x14ac:dyDescent="0.3">
      <c r="A7" s="210" t="s">
        <v>386</v>
      </c>
      <c r="B7" s="211" t="s">
        <v>388</v>
      </c>
    </row>
    <row r="8" spans="1:2" x14ac:dyDescent="0.3">
      <c r="A8" s="210" t="s">
        <v>389</v>
      </c>
      <c r="B8" s="211" t="s">
        <v>393</v>
      </c>
    </row>
    <row r="9" spans="1:2" x14ac:dyDescent="0.3">
      <c r="A9" s="210" t="s">
        <v>392</v>
      </c>
      <c r="B9" s="212" t="s">
        <v>394</v>
      </c>
    </row>
    <row r="10" spans="1:2" x14ac:dyDescent="0.3">
      <c r="A10" s="210" t="s">
        <v>390</v>
      </c>
      <c r="B10" s="212" t="s">
        <v>395</v>
      </c>
    </row>
    <row r="11" spans="1:2" x14ac:dyDescent="0.3">
      <c r="A11" s="210" t="s">
        <v>396</v>
      </c>
      <c r="B11" s="211" t="s">
        <v>405</v>
      </c>
    </row>
    <row r="12" spans="1:2" x14ac:dyDescent="0.3">
      <c r="A12" s="210" t="s">
        <v>398</v>
      </c>
      <c r="B12" s="211" t="s">
        <v>401</v>
      </c>
    </row>
    <row r="13" spans="1:2" x14ac:dyDescent="0.3">
      <c r="A13" s="210" t="s">
        <v>400</v>
      </c>
      <c r="B13" s="211" t="s">
        <v>402</v>
      </c>
    </row>
    <row r="14" spans="1:2" x14ac:dyDescent="0.3">
      <c r="A14" s="210" t="s">
        <v>417</v>
      </c>
      <c r="B14" s="211" t="s">
        <v>403</v>
      </c>
    </row>
    <row r="15" spans="1:2" x14ac:dyDescent="0.3">
      <c r="A15" s="210" t="s">
        <v>404</v>
      </c>
      <c r="B15" s="211" t="s">
        <v>436</v>
      </c>
    </row>
    <row r="16" spans="1:2" x14ac:dyDescent="0.3">
      <c r="A16" s="210" t="s">
        <v>383</v>
      </c>
      <c r="B16" s="211" t="s">
        <v>509</v>
      </c>
    </row>
    <row r="17" spans="1:2" x14ac:dyDescent="0.3">
      <c r="A17" s="210" t="s">
        <v>387</v>
      </c>
      <c r="B17" s="211" t="s">
        <v>510</v>
      </c>
    </row>
    <row r="18" spans="1:2" x14ac:dyDescent="0.3">
      <c r="A18" s="210" t="s">
        <v>391</v>
      </c>
      <c r="B18" s="211" t="s">
        <v>511</v>
      </c>
    </row>
    <row r="19" spans="1:2" x14ac:dyDescent="0.3">
      <c r="A19" s="210" t="s">
        <v>437</v>
      </c>
      <c r="B19" s="211" t="s">
        <v>438</v>
      </c>
    </row>
    <row r="20" spans="1:2" x14ac:dyDescent="0.3">
      <c r="A20" s="210" t="s">
        <v>397</v>
      </c>
      <c r="B20" s="211" t="s">
        <v>512</v>
      </c>
    </row>
    <row r="21" spans="1:2" x14ac:dyDescent="0.3">
      <c r="A21" s="210" t="s">
        <v>399</v>
      </c>
      <c r="B21" s="211" t="s">
        <v>513</v>
      </c>
    </row>
    <row r="22" spans="1:2" x14ac:dyDescent="0.3">
      <c r="A22" s="210" t="s">
        <v>428</v>
      </c>
      <c r="B22" s="211" t="s">
        <v>430</v>
      </c>
    </row>
    <row r="23" spans="1:2" x14ac:dyDescent="0.3">
      <c r="A23" s="210" t="s">
        <v>429</v>
      </c>
      <c r="B23" s="211" t="s">
        <v>431</v>
      </c>
    </row>
    <row r="24" spans="1:2" x14ac:dyDescent="0.3">
      <c r="A24" s="210" t="s">
        <v>434</v>
      </c>
      <c r="B24" s="211" t="s">
        <v>435</v>
      </c>
    </row>
    <row r="25" spans="1:2" x14ac:dyDescent="0.3">
      <c r="A25" s="210" t="s">
        <v>406</v>
      </c>
      <c r="B25" s="211" t="s">
        <v>407</v>
      </c>
    </row>
    <row r="26" spans="1:2" x14ac:dyDescent="0.3">
      <c r="A26" s="210" t="s">
        <v>408</v>
      </c>
      <c r="B26" s="211" t="s">
        <v>409</v>
      </c>
    </row>
    <row r="27" spans="1:2" x14ac:dyDescent="0.3">
      <c r="A27" s="210" t="s">
        <v>410</v>
      </c>
      <c r="B27" s="211" t="s">
        <v>514</v>
      </c>
    </row>
    <row r="28" spans="1:2" x14ac:dyDescent="0.3">
      <c r="A28" s="210" t="s">
        <v>412</v>
      </c>
      <c r="B28" s="211" t="s">
        <v>515</v>
      </c>
    </row>
    <row r="29" spans="1:2" x14ac:dyDescent="0.3">
      <c r="A29" s="210" t="s">
        <v>411</v>
      </c>
      <c r="B29" s="211" t="s">
        <v>516</v>
      </c>
    </row>
    <row r="30" spans="1:2" x14ac:dyDescent="0.3">
      <c r="A30" s="210" t="s">
        <v>413</v>
      </c>
      <c r="B30" s="211" t="s">
        <v>416</v>
      </c>
    </row>
    <row r="31" spans="1:2" x14ac:dyDescent="0.3">
      <c r="A31" s="210" t="s">
        <v>414</v>
      </c>
      <c r="B31" s="211" t="s">
        <v>517</v>
      </c>
    </row>
    <row r="32" spans="1:2" x14ac:dyDescent="0.3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  <col min="7" max="7" width="4.84375" customWidth="1"/>
    <col min="8" max="11" width="11.69140625" customWidth="1"/>
    <col min="12" max="12" width="26.69140625" customWidth="1"/>
    <col min="13" max="17" width="11.69140625" customWidth="1"/>
    <col min="18" max="19" width="10.69140625" customWidth="1"/>
  </cols>
  <sheetData>
    <row r="1" spans="1:19" ht="15.45" x14ac:dyDescent="0.4">
      <c r="A1" s="18" t="str">
        <f>CONCATENATE("Industry Table 1  Employment by Industry Sector (SIC 2007), ",B$5,"-",F$5,", ",Info!B5)</f>
        <v>Industry Table 1  Employment by Industry Sector (SIC 2007), 2015-2035, England</v>
      </c>
      <c r="L1" s="18" t="str">
        <f>CONCATENATE("Industry Table 1.1  Employment by Industry Sector (SIC 2007), ",B$5,"-",F$5,", ",Info!B5)</f>
        <v>Industry Table 1.1  Employment by Industry Sector (SIC 2007), 2015-2035, England</v>
      </c>
    </row>
    <row r="2" spans="1:19" x14ac:dyDescent="0.3">
      <c r="A2" s="1" t="s">
        <v>529</v>
      </c>
      <c r="F2" s="15"/>
      <c r="J2" s="15" t="s">
        <v>35</v>
      </c>
    </row>
    <row r="3" spans="1:19" x14ac:dyDescent="0.3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3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3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555.1960000004118</v>
      </c>
      <c r="N5" s="11">
        <f t="shared" si="0"/>
        <v>598.95700000140323</v>
      </c>
      <c r="O5" s="11">
        <f t="shared" si="0"/>
        <v>554.54399999805901</v>
      </c>
      <c r="P5" s="11">
        <f t="shared" si="0"/>
        <v>561.28600000060646</v>
      </c>
      <c r="Q5" s="11">
        <f t="shared" si="0"/>
        <v>571.78499999819644</v>
      </c>
      <c r="R5" s="39">
        <f>IF(D$5-B$5 &lt;&gt; 0,(EXP(LN(D7/B7)/(D$5-B$5))-1)*100,0)</f>
        <v>-2.3498241753794336E-2</v>
      </c>
      <c r="S5" s="39">
        <f>F34</f>
        <v>0.20432106617911394</v>
      </c>
    </row>
    <row r="6" spans="1:19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2197.6419999990994</v>
      </c>
      <c r="N6" s="11">
        <f t="shared" si="0"/>
        <v>2254.4499999968257</v>
      </c>
      <c r="O6" s="11">
        <f t="shared" si="0"/>
        <v>2208.4099999963059</v>
      </c>
      <c r="P6" s="11">
        <f t="shared" si="0"/>
        <v>2130.7230000115928</v>
      </c>
      <c r="Q6" s="11">
        <f t="shared" si="0"/>
        <v>1959.1609999995239</v>
      </c>
      <c r="R6" s="39">
        <f t="shared" ref="R6:R10" si="1">IF(D$5-B$5 &lt;&gt; 0,(EXP(LN(D8/B8)/(D$5-B$5))-1)*100,0)</f>
        <v>9.7804441518012375E-2</v>
      </c>
      <c r="S6" s="39">
        <f t="shared" ref="S6:S12" si="2">F35</f>
        <v>-0.79519796723452885</v>
      </c>
    </row>
    <row r="7" spans="1:19" x14ac:dyDescent="0.3">
      <c r="A7" t="str">
        <f>name!C4</f>
        <v>Primary sector and utilities</v>
      </c>
      <c r="B7" s="11">
        <f t="array" ref="B7:B12">MMULT(aggregation!$B$28:$BX$33,'Ind T3'!B5:B79)</f>
        <v>555.1960000004118</v>
      </c>
      <c r="C7" s="11">
        <f t="array" ref="C7:C12">MMULT(aggregation!$B$28:$BX$33,'Ind T3'!C5:C79)</f>
        <v>598.95700000140323</v>
      </c>
      <c r="D7" s="11">
        <f t="array" ref="D7:D12">MMULT(aggregation!$B$28:$BX$33,'Ind T3'!D5:D79)</f>
        <v>554.54399999805901</v>
      </c>
      <c r="E7" s="11">
        <f t="array" ref="E7:E12">MMULT(aggregation!$B$28:$BX$33,'Ind T3'!E5:E79)</f>
        <v>561.28600000060646</v>
      </c>
      <c r="F7" s="11">
        <f t="array" ref="F7:F12">MMULT(aggregation!$B$28:$BX$33,'Ind T3'!F5:F79)</f>
        <v>571.78499999819644</v>
      </c>
      <c r="G7" s="11"/>
      <c r="H7" s="11">
        <f>F7-D7</f>
        <v>17.241000000137433</v>
      </c>
      <c r="I7" s="11">
        <f t="array" ref="I7:I12">MMULT(aggregation!$B$28:$BX$33,'RD T1'!AB7:AB81)</f>
        <v>261.63875172385167</v>
      </c>
      <c r="J7" s="11">
        <f>SUM(H7:I7)</f>
        <v>278.8797517239891</v>
      </c>
      <c r="K7" s="11"/>
      <c r="L7" t="str">
        <f t="shared" si="0"/>
        <v>Construction</v>
      </c>
      <c r="M7" s="11">
        <f t="shared" si="0"/>
        <v>1800.3539999823467</v>
      </c>
      <c r="N7" s="11">
        <f t="shared" si="0"/>
        <v>1996.7570000194819</v>
      </c>
      <c r="O7" s="11">
        <f t="shared" si="0"/>
        <v>1999.7949999736827</v>
      </c>
      <c r="P7" s="11">
        <f t="shared" si="0"/>
        <v>2097.9509999332668</v>
      </c>
      <c r="Q7" s="11">
        <f t="shared" si="0"/>
        <v>2251.9169999468199</v>
      </c>
      <c r="R7" s="39">
        <f t="shared" si="1"/>
        <v>2.1234584778621501</v>
      </c>
      <c r="S7" s="39">
        <f t="shared" si="2"/>
        <v>0.794722474715015</v>
      </c>
    </row>
    <row r="8" spans="1:19" x14ac:dyDescent="0.3">
      <c r="A8" t="str">
        <f>name!C5</f>
        <v>Manufacturing</v>
      </c>
      <c r="B8" s="11">
        <v>2197.6419999990994</v>
      </c>
      <c r="C8" s="11">
        <v>2254.4499999968257</v>
      </c>
      <c r="D8" s="11">
        <v>2208.4099999963059</v>
      </c>
      <c r="E8" s="11">
        <v>2130.7230000115928</v>
      </c>
      <c r="F8" s="11">
        <v>1959.1609999995239</v>
      </c>
      <c r="G8" s="11"/>
      <c r="H8" s="11">
        <f t="shared" ref="H8:H12" si="3">F8-D8</f>
        <v>-249.248999996782</v>
      </c>
      <c r="I8" s="11">
        <v>886.95859406673912</v>
      </c>
      <c r="J8" s="11">
        <f t="shared" ref="J8:J12" si="4">SUM(H8:I8)</f>
        <v>637.70959406995712</v>
      </c>
      <c r="K8" s="11"/>
      <c r="L8" t="str">
        <f t="shared" si="0"/>
        <v>Trade, accomod. and transport</v>
      </c>
      <c r="M8" s="11">
        <f t="shared" si="0"/>
        <v>7525.0560001205222</v>
      </c>
      <c r="N8" s="11">
        <f t="shared" si="0"/>
        <v>8007.9100000778262</v>
      </c>
      <c r="O8" s="11">
        <f t="shared" si="0"/>
        <v>7878.5050000484916</v>
      </c>
      <c r="P8" s="11">
        <f t="shared" si="0"/>
        <v>8105.1010001628092</v>
      </c>
      <c r="Q8" s="11">
        <f t="shared" si="0"/>
        <v>8490.7949999848715</v>
      </c>
      <c r="R8" s="39">
        <f t="shared" si="1"/>
        <v>0.92222477881374054</v>
      </c>
      <c r="S8" s="39">
        <f t="shared" si="2"/>
        <v>0.50021003036864187</v>
      </c>
    </row>
    <row r="9" spans="1:19" x14ac:dyDescent="0.3">
      <c r="A9" t="str">
        <f>name!C6</f>
        <v>Construction</v>
      </c>
      <c r="B9" s="11">
        <v>1800.3539999823467</v>
      </c>
      <c r="C9" s="11">
        <v>1996.7570000194819</v>
      </c>
      <c r="D9" s="11">
        <v>1999.7949999736827</v>
      </c>
      <c r="E9" s="11">
        <v>2097.9509999332668</v>
      </c>
      <c r="F9" s="11">
        <v>2251.9169999468199</v>
      </c>
      <c r="G9" s="11"/>
      <c r="H9" s="11">
        <f t="shared" si="3"/>
        <v>252.12199997313724</v>
      </c>
      <c r="I9" s="11">
        <v>890.84107162981036</v>
      </c>
      <c r="J9" s="11">
        <f t="shared" si="4"/>
        <v>1142.9630716029476</v>
      </c>
      <c r="K9" s="11"/>
      <c r="L9" t="str">
        <f t="shared" si="0"/>
        <v>Business and other services</v>
      </c>
      <c r="M9" s="11">
        <f t="shared" si="0"/>
        <v>9528.638999968709</v>
      </c>
      <c r="N9" s="11">
        <f t="shared" si="0"/>
        <v>10098.704999956526</v>
      </c>
      <c r="O9" s="11">
        <f t="shared" si="0"/>
        <v>9932.1719999788857</v>
      </c>
      <c r="P9" s="11">
        <f t="shared" si="0"/>
        <v>10297.576000100173</v>
      </c>
      <c r="Q9" s="11">
        <f t="shared" si="0"/>
        <v>10865.118000035862</v>
      </c>
      <c r="R9" s="39">
        <f t="shared" si="1"/>
        <v>0.83299606432620799</v>
      </c>
      <c r="S9" s="39">
        <f t="shared" si="2"/>
        <v>0.60031664769235604</v>
      </c>
    </row>
    <row r="10" spans="1:19" x14ac:dyDescent="0.3">
      <c r="A10" t="str">
        <f>name!C7</f>
        <v>Trade, accomod. and transport</v>
      </c>
      <c r="B10" s="11">
        <v>7525.0560001205222</v>
      </c>
      <c r="C10" s="11">
        <v>8007.9100000778262</v>
      </c>
      <c r="D10" s="11">
        <v>7878.5050000484916</v>
      </c>
      <c r="E10" s="11">
        <v>8105.1010001628092</v>
      </c>
      <c r="F10" s="11">
        <v>8490.7949999848715</v>
      </c>
      <c r="G10" s="11"/>
      <c r="H10" s="11">
        <f t="shared" si="3"/>
        <v>612.2899999363799</v>
      </c>
      <c r="I10" s="11">
        <v>3891.6247718900458</v>
      </c>
      <c r="J10" s="11">
        <f t="shared" si="4"/>
        <v>4503.9147718264257</v>
      </c>
      <c r="K10" s="11"/>
      <c r="L10" t="str">
        <f t="shared" si="0"/>
        <v>Non-marketed services</v>
      </c>
      <c r="M10" s="11">
        <f t="shared" si="0"/>
        <v>7049.2849999266728</v>
      </c>
      <c r="N10" s="11">
        <f t="shared" si="0"/>
        <v>7255.9809999418121</v>
      </c>
      <c r="O10" s="11">
        <f t="shared" si="0"/>
        <v>7286.2549999996081</v>
      </c>
      <c r="P10" s="11">
        <f t="shared" si="0"/>
        <v>7562.1109998015791</v>
      </c>
      <c r="Q10" s="11">
        <f t="shared" si="0"/>
        <v>7931.3150000336327</v>
      </c>
      <c r="R10" s="39">
        <f t="shared" si="1"/>
        <v>0.66346128521379555</v>
      </c>
      <c r="S10" s="39">
        <f t="shared" si="2"/>
        <v>0.56712980168480698</v>
      </c>
    </row>
    <row r="11" spans="1:19" x14ac:dyDescent="0.3">
      <c r="A11" t="str">
        <f>name!C8</f>
        <v>Business and other services</v>
      </c>
      <c r="B11" s="11">
        <v>9528.638999968709</v>
      </c>
      <c r="C11" s="11">
        <v>10098.704999956526</v>
      </c>
      <c r="D11" s="11">
        <v>9932.1719999788857</v>
      </c>
      <c r="E11" s="11">
        <v>10297.576000100173</v>
      </c>
      <c r="F11" s="11">
        <v>10865.118000035862</v>
      </c>
      <c r="G11" s="11"/>
      <c r="H11" s="11">
        <f t="shared" si="3"/>
        <v>932.94600005697612</v>
      </c>
      <c r="I11" s="11">
        <v>4993.9162909370607</v>
      </c>
      <c r="J11" s="11">
        <f t="shared" si="4"/>
        <v>5926.8622909940368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3">
      <c r="A12" t="str">
        <f>name!C9</f>
        <v>Non-marketed services</v>
      </c>
      <c r="B12" s="11">
        <v>7049.2849999266728</v>
      </c>
      <c r="C12" s="11">
        <v>7255.9809999418121</v>
      </c>
      <c r="D12" s="11">
        <v>7286.2549999996081</v>
      </c>
      <c r="E12" s="11">
        <v>7562.1109998015791</v>
      </c>
      <c r="F12" s="11">
        <v>7931.3150000336327</v>
      </c>
      <c r="G12" s="11"/>
      <c r="H12" s="11">
        <f t="shared" si="3"/>
        <v>645.0600000340246</v>
      </c>
      <c r="I12" s="11">
        <v>4063.1434468006059</v>
      </c>
      <c r="J12" s="11">
        <f t="shared" si="4"/>
        <v>4708.2034468346301</v>
      </c>
      <c r="K12" s="11"/>
      <c r="L12" s="23" t="str">
        <f t="shared" ref="L12:Q12" si="5">A14</f>
        <v>All industries</v>
      </c>
      <c r="M12" s="33">
        <f t="shared" si="5"/>
        <v>28656.171999997761</v>
      </c>
      <c r="N12" s="33">
        <f t="shared" si="5"/>
        <v>30212.759999993876</v>
      </c>
      <c r="O12" s="33">
        <f t="shared" si="5"/>
        <v>29859.680999995031</v>
      </c>
      <c r="P12" s="33">
        <f t="shared" si="5"/>
        <v>30754.748000010026</v>
      </c>
      <c r="Q12" s="33">
        <f t="shared" si="5"/>
        <v>32070.090999998905</v>
      </c>
      <c r="R12" s="42">
        <f>IF(D$5-B$5 &lt;&gt; 0,(EXP(LN(D14/B14)/(D$5-B$5))-1)*100,0)</f>
        <v>0.82619957207423766</v>
      </c>
      <c r="S12" s="42">
        <f t="shared" si="2"/>
        <v>0.477233431154378</v>
      </c>
    </row>
    <row r="13" spans="1:19" x14ac:dyDescent="0.3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3">
      <c r="A14" s="23" t="str">
        <f>name!C3</f>
        <v>All industries</v>
      </c>
      <c r="B14" s="33">
        <f>SUM(B7:B12)</f>
        <v>28656.171999997761</v>
      </c>
      <c r="C14" s="33">
        <f t="shared" ref="C14:F14" si="6">SUM(C7:C12)</f>
        <v>30212.759999993876</v>
      </c>
      <c r="D14" s="33">
        <f t="shared" si="6"/>
        <v>29859.680999995031</v>
      </c>
      <c r="E14" s="33">
        <f t="shared" si="6"/>
        <v>30754.748000010026</v>
      </c>
      <c r="F14" s="33">
        <f t="shared" si="6"/>
        <v>32070.090999998905</v>
      </c>
      <c r="G14" s="33"/>
      <c r="H14" s="33">
        <f>SUM(H7:H12)</f>
        <v>2210.4100000038734</v>
      </c>
      <c r="I14" s="33">
        <f>SUM(I7:I12)</f>
        <v>14988.122927048114</v>
      </c>
      <c r="J14" s="33">
        <f t="shared" ref="J14" si="7">SUM(J7:J12)</f>
        <v>17198.532927051987</v>
      </c>
      <c r="K14" s="11"/>
      <c r="L14" s="11"/>
    </row>
    <row r="15" spans="1:19" x14ac:dyDescent="0.3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3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3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3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3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3">
      <c r="A20" t="str">
        <f>$A$7</f>
        <v>Primary sector and utilities</v>
      </c>
      <c r="B20" s="17">
        <f>B7/B$14*100</f>
        <v>1.9374395156493867</v>
      </c>
      <c r="C20" s="17">
        <f>C7/C$14*100</f>
        <v>1.9824637007725368</v>
      </c>
      <c r="D20" s="17">
        <f>D7/D$14*100</f>
        <v>1.8571665249811318</v>
      </c>
      <c r="E20" s="17">
        <f>E7/E$14*100</f>
        <v>1.8250385273858316</v>
      </c>
      <c r="F20" s="17">
        <f>F7/F$14*100</f>
        <v>1.7829229109397164</v>
      </c>
      <c r="G20" s="17"/>
      <c r="H20" s="39">
        <f>IF(D7&gt;0,(H7/D7)*100,0)</f>
        <v>3.1090409417823976</v>
      </c>
      <c r="I20" s="39">
        <f>IF(D7&gt;0,(I7/D7)*100,0)</f>
        <v>47.180882260878747</v>
      </c>
      <c r="J20" s="39">
        <f>IF(D7&gt;0,(J7/D7)*100,0)</f>
        <v>50.289923202661143</v>
      </c>
      <c r="K20" s="17"/>
      <c r="L20" s="11"/>
    </row>
    <row r="21" spans="1:12" x14ac:dyDescent="0.3">
      <c r="A21" t="str">
        <f>$A$8</f>
        <v>Manufacturing</v>
      </c>
      <c r="B21" s="17">
        <f t="shared" ref="B21:F27" si="8">B8/B$14*100</f>
        <v>7.6690005908649317</v>
      </c>
      <c r="C21" s="17">
        <f t="shared" si="8"/>
        <v>7.4619134431852059</v>
      </c>
      <c r="D21" s="17">
        <f t="shared" si="8"/>
        <v>7.3959597893784386</v>
      </c>
      <c r="E21" s="17">
        <f t="shared" si="8"/>
        <v>6.9281107424807971</v>
      </c>
      <c r="F21" s="17">
        <f t="shared" si="8"/>
        <v>6.1089973208981254</v>
      </c>
      <c r="G21" s="17"/>
      <c r="H21" s="39">
        <f t="shared" ref="H21:H25" si="9">IF(D8&gt;0,(H8/D8)*100,0)</f>
        <v>-11.286355341499039</v>
      </c>
      <c r="I21" s="39">
        <f t="shared" ref="I21:I25" si="10">IF(D8&gt;0,(I8/D8)*100,0)</f>
        <v>40.162768420185692</v>
      </c>
      <c r="J21" s="39">
        <f t="shared" ref="J21:J25" si="11">IF(D8&gt;0,(J8/D8)*100,0)</f>
        <v>28.876413078686646</v>
      </c>
      <c r="K21" s="17"/>
      <c r="L21" s="11"/>
    </row>
    <row r="22" spans="1:12" x14ac:dyDescent="0.3">
      <c r="A22" t="str">
        <f>$A$9</f>
        <v>Construction</v>
      </c>
      <c r="B22" s="17">
        <f t="shared" si="8"/>
        <v>6.2826046688388368</v>
      </c>
      <c r="C22" s="17">
        <f t="shared" si="8"/>
        <v>6.6089857398658278</v>
      </c>
      <c r="D22" s="17">
        <f t="shared" si="8"/>
        <v>6.6973086550188379</v>
      </c>
      <c r="E22" s="17">
        <f t="shared" si="8"/>
        <v>6.8215515858968594</v>
      </c>
      <c r="F22" s="17">
        <f t="shared" si="8"/>
        <v>7.0218603369316819</v>
      </c>
      <c r="G22" s="17"/>
      <c r="H22" s="39">
        <f t="shared" si="9"/>
        <v>12.607392256529051</v>
      </c>
      <c r="I22" s="39">
        <f t="shared" si="10"/>
        <v>44.546619610586774</v>
      </c>
      <c r="J22" s="39">
        <f t="shared" si="11"/>
        <v>57.154011867115827</v>
      </c>
      <c r="K22" s="17"/>
      <c r="L22" s="11"/>
    </row>
    <row r="23" spans="1:12" x14ac:dyDescent="0.3">
      <c r="A23" t="str">
        <f>$A$10</f>
        <v>Trade, accomod. and transport</v>
      </c>
      <c r="B23" s="17">
        <f t="shared" si="8"/>
        <v>26.259808882083448</v>
      </c>
      <c r="C23" s="17">
        <f t="shared" si="8"/>
        <v>26.505059451964829</v>
      </c>
      <c r="D23" s="17">
        <f t="shared" si="8"/>
        <v>26.385094335233529</v>
      </c>
      <c r="E23" s="17">
        <f t="shared" si="8"/>
        <v>26.353982806687821</v>
      </c>
      <c r="F23" s="17">
        <f t="shared" si="8"/>
        <v>26.47574339587986</v>
      </c>
      <c r="G23" s="17"/>
      <c r="H23" s="39">
        <f t="shared" si="9"/>
        <v>7.7716521082694152</v>
      </c>
      <c r="I23" s="39">
        <f t="shared" si="10"/>
        <v>49.395472514977058</v>
      </c>
      <c r="J23" s="39">
        <f t="shared" si="11"/>
        <v>57.167124623246465</v>
      </c>
      <c r="K23" s="17"/>
      <c r="L23" s="11"/>
    </row>
    <row r="24" spans="1:12" x14ac:dyDescent="0.3">
      <c r="A24" t="str">
        <f>$A$11</f>
        <v>Business and other services</v>
      </c>
      <c r="B24" s="17">
        <f t="shared" si="8"/>
        <v>33.251611554988756</v>
      </c>
      <c r="C24" s="17">
        <f t="shared" si="8"/>
        <v>33.425297787949773</v>
      </c>
      <c r="D24" s="17">
        <f t="shared" si="8"/>
        <v>33.26282018880422</v>
      </c>
      <c r="E24" s="17">
        <f t="shared" si="8"/>
        <v>33.482882058070565</v>
      </c>
      <c r="F24" s="17">
        <f t="shared" si="8"/>
        <v>33.879286466746329</v>
      </c>
      <c r="G24" s="17"/>
      <c r="H24" s="39">
        <f t="shared" si="9"/>
        <v>9.3931720076833098</v>
      </c>
      <c r="I24" s="39">
        <f t="shared" si="10"/>
        <v>50.280203473597481</v>
      </c>
      <c r="J24" s="39">
        <f t="shared" si="11"/>
        <v>59.6733754812808</v>
      </c>
      <c r="K24" s="17"/>
    </row>
    <row r="25" spans="1:12" x14ac:dyDescent="0.3">
      <c r="A25" t="str">
        <f>$A$12</f>
        <v>Non-marketed services</v>
      </c>
      <c r="B25" s="17">
        <f t="shared" si="8"/>
        <v>24.59953478757464</v>
      </c>
      <c r="C25" s="17">
        <f t="shared" si="8"/>
        <v>24.01627987626183</v>
      </c>
      <c r="D25" s="17">
        <f t="shared" si="8"/>
        <v>24.401650506583845</v>
      </c>
      <c r="E25" s="17">
        <f t="shared" si="8"/>
        <v>24.588434279478129</v>
      </c>
      <c r="F25" s="17">
        <f t="shared" si="8"/>
        <v>24.73118956860429</v>
      </c>
      <c r="G25" s="17"/>
      <c r="H25" s="39">
        <f t="shared" si="9"/>
        <v>8.8531076668886737</v>
      </c>
      <c r="I25" s="39">
        <f t="shared" si="10"/>
        <v>55.764496943914601</v>
      </c>
      <c r="J25" s="39">
        <f t="shared" si="11"/>
        <v>64.617604610803255</v>
      </c>
      <c r="K25" s="17"/>
      <c r="L25" s="11"/>
    </row>
    <row r="26" spans="1:12" x14ac:dyDescent="0.3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3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7.4026577846033961</v>
      </c>
      <c r="I27" s="42">
        <f>IF(D14&gt;0,(I14/D14)*100,0)</f>
        <v>50.195187708303415</v>
      </c>
      <c r="J27" s="42">
        <f>IF(D14&gt;0,(J14/D14)*100,0)</f>
        <v>57.597845492906806</v>
      </c>
      <c r="K27" s="17"/>
      <c r="L27" s="11"/>
    </row>
    <row r="28" spans="1:12" x14ac:dyDescent="0.3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3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3">
      <c r="B30" s="17"/>
      <c r="C30" s="17"/>
      <c r="D30" s="17"/>
      <c r="E30" s="17"/>
      <c r="F30" s="17"/>
      <c r="H30" s="17"/>
      <c r="I30" s="17"/>
      <c r="J30" s="17"/>
    </row>
    <row r="31" spans="1:12" ht="15.45" x14ac:dyDescent="0.4">
      <c r="A31" s="193" t="str">
        <f>CONCATENATE(A1," (Continued)")</f>
        <v>Industry Table 1  Employment by Industry Sector (SIC 2007), 2015-2035, England (Continued)</v>
      </c>
      <c r="B31" s="17"/>
      <c r="C31" s="17"/>
      <c r="D31" s="17"/>
      <c r="E31" s="17"/>
      <c r="F31" s="17"/>
      <c r="G31" s="19"/>
      <c r="K31" s="19"/>
    </row>
    <row r="32" spans="1:12" x14ac:dyDescent="0.3">
      <c r="G32" s="17"/>
      <c r="H32" s="19"/>
      <c r="I32" s="19"/>
      <c r="J32" s="19"/>
      <c r="K32" s="17"/>
    </row>
    <row r="33" spans="1:11" x14ac:dyDescent="0.3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3">
      <c r="A34" t="str">
        <f>$A$7</f>
        <v>Primary sector and utilities</v>
      </c>
      <c r="B34" s="17">
        <f>IF(C$5-B$5 &lt;&gt; 0,(EXP(LN(C7/B7)/(C$5-B$5))-1)*100,0)</f>
        <v>1.9148170241051421</v>
      </c>
      <c r="C34" s="17">
        <f>IF(D$5-C$5 &lt;&gt; 0,(EXP(LN(D7/C7)/(D$5-C$5))-1)*100,0)</f>
        <v>-7.4150565071015357</v>
      </c>
      <c r="D34" s="17">
        <f>IF(E$5-D$5 &lt;&gt; 0,(EXP(LN(E7/D7)/(E$5-D$5))-1)*100,0)</f>
        <v>0.24198080478512463</v>
      </c>
      <c r="E34" s="17">
        <f>IF(F$5-E$5 &lt;&gt; 0,(EXP(LN(F7/E7)/(F$5-E$5))-1)*100,0)</f>
        <v>0.18549650282944086</v>
      </c>
      <c r="F34" s="17">
        <f>IF(F$5-D$5 &lt;&gt; 0,(EXP(LN(F7/D7)/(F$5-D$5))-1)*100,0)</f>
        <v>0.20432106617911394</v>
      </c>
      <c r="G34" s="17"/>
      <c r="H34" s="17"/>
      <c r="I34" s="17"/>
      <c r="J34" s="17"/>
      <c r="K34" s="17"/>
    </row>
    <row r="35" spans="1:11" x14ac:dyDescent="0.3">
      <c r="A35" t="str">
        <f>$A$8</f>
        <v>Manufacturing</v>
      </c>
      <c r="B35" s="17">
        <f t="shared" ref="B35:B41" si="12">IF(C$5-B$5 &lt;&gt; 0,(EXP(LN(C8/B8)/(C$5-B$5))-1)*100,0)</f>
        <v>0.64006656167869824</v>
      </c>
      <c r="C35" s="17">
        <f t="shared" ref="C35:C41" si="13">IF(D$5-C$5 &lt;&gt; 0,(EXP(LN(D8/C8)/(D$5-C$5))-1)*100,0)</f>
        <v>-2.0421832376226856</v>
      </c>
      <c r="D35" s="17">
        <f t="shared" ref="D35:E39" si="14">IF(E$5-D$5 &lt;&gt; 0,(EXP(LN(E8/D8)/(E$5-D$5))-1)*100,0)</f>
        <v>-0.71367001062634383</v>
      </c>
      <c r="E35" s="17">
        <f t="shared" si="14"/>
        <v>-0.83593683740823543</v>
      </c>
      <c r="F35" s="17">
        <f t="shared" ref="F35:F41" si="15">IF(F$5-D$5 &lt;&gt; 0,(EXP(LN(F8/D8)/(F$5-D$5))-1)*100,0)</f>
        <v>-0.79519796723452885</v>
      </c>
      <c r="G35" s="17"/>
      <c r="H35" s="17"/>
      <c r="I35" s="17"/>
      <c r="J35" s="17"/>
      <c r="K35" s="17"/>
    </row>
    <row r="36" spans="1:11" x14ac:dyDescent="0.3">
      <c r="A36" t="str">
        <f>$A$9</f>
        <v>Construction</v>
      </c>
      <c r="B36" s="17">
        <f t="shared" si="12"/>
        <v>2.6223196022649553</v>
      </c>
      <c r="C36" s="17">
        <f t="shared" si="13"/>
        <v>0.15214670358842941</v>
      </c>
      <c r="D36" s="17">
        <f t="shared" si="14"/>
        <v>0.96293625784324988</v>
      </c>
      <c r="E36" s="17">
        <f t="shared" si="14"/>
        <v>0.71072070986890612</v>
      </c>
      <c r="F36" s="17">
        <f t="shared" si="15"/>
        <v>0.794722474715015</v>
      </c>
      <c r="G36" s="17"/>
      <c r="H36" s="17"/>
      <c r="I36" s="17"/>
      <c r="J36" s="17"/>
      <c r="K36" s="17"/>
    </row>
    <row r="37" spans="1:11" x14ac:dyDescent="0.3">
      <c r="A37" t="str">
        <f>$A$10</f>
        <v>Trade, accomod. and transport</v>
      </c>
      <c r="B37" s="17">
        <f t="shared" si="12"/>
        <v>1.5669384942846643</v>
      </c>
      <c r="C37" s="17">
        <f t="shared" si="13"/>
        <v>-1.6159647152387713</v>
      </c>
      <c r="D37" s="17">
        <f t="shared" si="14"/>
        <v>0.56872013758217932</v>
      </c>
      <c r="E37" s="17">
        <f t="shared" si="14"/>
        <v>0.46597248034483396</v>
      </c>
      <c r="F37" s="17">
        <f t="shared" si="15"/>
        <v>0.50021003036864187</v>
      </c>
      <c r="G37" s="17"/>
      <c r="H37" s="17"/>
      <c r="I37" s="17"/>
      <c r="J37" s="17"/>
      <c r="K37" s="17"/>
    </row>
    <row r="38" spans="1:11" x14ac:dyDescent="0.3">
      <c r="A38" t="str">
        <f>$A$11</f>
        <v>Business and other services</v>
      </c>
      <c r="B38" s="17">
        <f t="shared" si="12"/>
        <v>1.4632345432583849</v>
      </c>
      <c r="C38" s="17">
        <f t="shared" si="13"/>
        <v>-1.6490530219306021</v>
      </c>
      <c r="D38" s="17">
        <f t="shared" si="14"/>
        <v>0.72520380800762396</v>
      </c>
      <c r="E38" s="17">
        <f t="shared" si="14"/>
        <v>0.53793114644675732</v>
      </c>
      <c r="F38" s="17">
        <f t="shared" si="15"/>
        <v>0.60031664769235604</v>
      </c>
      <c r="G38" s="17"/>
      <c r="H38" s="17"/>
      <c r="I38" s="17"/>
      <c r="J38" s="17"/>
      <c r="K38" s="17"/>
    </row>
    <row r="39" spans="1:11" x14ac:dyDescent="0.3">
      <c r="A39" t="str">
        <f>$A$12</f>
        <v>Non-marketed services</v>
      </c>
      <c r="B39" s="17">
        <f t="shared" si="12"/>
        <v>0.72511383670565976</v>
      </c>
      <c r="C39" s="17">
        <f t="shared" si="13"/>
        <v>0.4172282157028695</v>
      </c>
      <c r="D39" s="17">
        <f t="shared" si="14"/>
        <v>0.74598243601133873</v>
      </c>
      <c r="E39" s="17">
        <f t="shared" si="14"/>
        <v>0.4778225875432307</v>
      </c>
      <c r="F39" s="17">
        <f t="shared" si="15"/>
        <v>0.56712980168480698</v>
      </c>
      <c r="G39" s="17"/>
      <c r="H39" s="17"/>
      <c r="I39" s="17"/>
      <c r="J39" s="17"/>
      <c r="K39" s="17"/>
    </row>
    <row r="40" spans="1:11" x14ac:dyDescent="0.3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3">
      <c r="A41" t="str">
        <f>$A$14</f>
        <v>All industries</v>
      </c>
      <c r="B41" s="17">
        <f t="shared" si="12"/>
        <v>1.3311698180238807</v>
      </c>
      <c r="C41" s="17">
        <f t="shared" si="13"/>
        <v>-1.1686419909962442</v>
      </c>
      <c r="D41" s="17">
        <f>IF(E$5-D$5 &lt;&gt; 0,(EXP(LN(E14/D14)/(E$5-D$5))-1)*100,0)</f>
        <v>0.59245370532130526</v>
      </c>
      <c r="E41" s="17">
        <f>IF(F$5-E$5 &lt;&gt; 0,(EXP(LN(F14/E14)/(F$5-E$5))-1)*100,0)</f>
        <v>0.4196727942317624</v>
      </c>
      <c r="F41" s="17">
        <f t="shared" si="15"/>
        <v>0.477233431154378</v>
      </c>
      <c r="H41" s="17"/>
      <c r="I41" s="17"/>
      <c r="J41" s="17"/>
    </row>
    <row r="42" spans="1:11" x14ac:dyDescent="0.3">
      <c r="B42" s="17"/>
      <c r="C42" s="17"/>
      <c r="D42" s="17"/>
      <c r="E42" s="17"/>
      <c r="F42" s="17"/>
      <c r="G42" s="19"/>
      <c r="K42" s="19"/>
    </row>
    <row r="43" spans="1:11" x14ac:dyDescent="0.3">
      <c r="G43" s="26"/>
      <c r="H43" s="19"/>
      <c r="I43" s="19"/>
      <c r="J43" s="19"/>
      <c r="K43" s="26"/>
    </row>
    <row r="44" spans="1:11" x14ac:dyDescent="0.3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3">
      <c r="A45" t="str">
        <f>$A$7</f>
        <v>Primary sector and utilities</v>
      </c>
      <c r="B45" s="26">
        <f>C7-B7</f>
        <v>43.76100000099143</v>
      </c>
      <c r="C45" s="26">
        <f>D7-C7</f>
        <v>-44.413000003344223</v>
      </c>
      <c r="D45" s="26">
        <f>E7-D7</f>
        <v>6.7420000025474565</v>
      </c>
      <c r="E45" s="26">
        <f>F7-E7</f>
        <v>10.498999997589976</v>
      </c>
      <c r="F45" s="26">
        <f>F7-D7</f>
        <v>17.241000000137433</v>
      </c>
      <c r="G45" s="26"/>
      <c r="H45" s="26"/>
      <c r="I45" s="26"/>
      <c r="J45" s="26"/>
      <c r="K45" s="26"/>
    </row>
    <row r="46" spans="1:11" x14ac:dyDescent="0.3">
      <c r="A46" t="str">
        <f>$A$8</f>
        <v>Manufacturing</v>
      </c>
      <c r="B46" s="26">
        <f t="shared" ref="B46:E52" si="16">C8-B8</f>
        <v>56.807999997726256</v>
      </c>
      <c r="C46" s="26">
        <f>D8-C8</f>
        <v>-46.04000000051974</v>
      </c>
      <c r="D46" s="26">
        <f t="shared" si="16"/>
        <v>-77.686999984713111</v>
      </c>
      <c r="E46" s="26">
        <f t="shared" si="16"/>
        <v>-171.56200001206889</v>
      </c>
      <c r="F46" s="26">
        <f t="shared" ref="F46:F52" si="17">F8-D8</f>
        <v>-249.248999996782</v>
      </c>
      <c r="G46" s="26"/>
      <c r="H46" s="26"/>
      <c r="I46" s="26"/>
      <c r="J46" s="26"/>
      <c r="K46" s="26"/>
    </row>
    <row r="47" spans="1:11" x14ac:dyDescent="0.3">
      <c r="A47" t="str">
        <f>$A$9</f>
        <v>Construction</v>
      </c>
      <c r="B47" s="26">
        <f t="shared" si="16"/>
        <v>196.40300003713514</v>
      </c>
      <c r="C47" s="26">
        <f t="shared" ref="C47:C50" si="18">D9-C9</f>
        <v>3.0379999542008136</v>
      </c>
      <c r="D47" s="26">
        <f t="shared" si="16"/>
        <v>98.155999959584051</v>
      </c>
      <c r="E47" s="26">
        <f t="shared" si="16"/>
        <v>153.96600001355318</v>
      </c>
      <c r="F47" s="26">
        <f t="shared" si="17"/>
        <v>252.12199997313724</v>
      </c>
      <c r="G47" s="26"/>
      <c r="H47" s="26"/>
      <c r="I47" s="26"/>
      <c r="J47" s="26"/>
      <c r="K47" s="26"/>
    </row>
    <row r="48" spans="1:11" x14ac:dyDescent="0.3">
      <c r="A48" t="str">
        <f>$A$10</f>
        <v>Trade, accomod. and transport</v>
      </c>
      <c r="B48" s="26">
        <f t="shared" si="16"/>
        <v>482.85399995730404</v>
      </c>
      <c r="C48" s="26">
        <f t="shared" si="18"/>
        <v>-129.40500002933459</v>
      </c>
      <c r="D48" s="26">
        <f t="shared" si="16"/>
        <v>226.59600011431758</v>
      </c>
      <c r="E48" s="26">
        <f t="shared" si="16"/>
        <v>385.69399982206232</v>
      </c>
      <c r="F48" s="26">
        <f t="shared" si="17"/>
        <v>612.2899999363799</v>
      </c>
      <c r="G48" s="26"/>
      <c r="H48" s="26"/>
      <c r="I48" s="26"/>
      <c r="J48" s="26"/>
      <c r="K48" s="26"/>
    </row>
    <row r="49" spans="1:11" x14ac:dyDescent="0.3">
      <c r="A49" t="str">
        <f>$A$11</f>
        <v>Business and other services</v>
      </c>
      <c r="B49" s="26">
        <f t="shared" si="16"/>
        <v>570.06599998781712</v>
      </c>
      <c r="C49" s="26">
        <f t="shared" si="18"/>
        <v>-166.53299997764043</v>
      </c>
      <c r="D49" s="26">
        <f t="shared" si="16"/>
        <v>365.40400012128703</v>
      </c>
      <c r="E49" s="26">
        <f t="shared" si="16"/>
        <v>567.54199993568909</v>
      </c>
      <c r="F49" s="26">
        <f t="shared" si="17"/>
        <v>932.94600005697612</v>
      </c>
      <c r="G49" s="26"/>
      <c r="H49" s="26"/>
      <c r="I49" s="26"/>
      <c r="J49" s="26"/>
      <c r="K49" s="26"/>
    </row>
    <row r="50" spans="1:11" x14ac:dyDescent="0.3">
      <c r="A50" t="str">
        <f>$A$12</f>
        <v>Non-marketed services</v>
      </c>
      <c r="B50" s="26">
        <f t="shared" si="16"/>
        <v>206.69600001513936</v>
      </c>
      <c r="C50" s="26">
        <f t="shared" si="18"/>
        <v>30.274000057796002</v>
      </c>
      <c r="D50" s="26">
        <f t="shared" si="16"/>
        <v>275.85599980197094</v>
      </c>
      <c r="E50" s="26">
        <f t="shared" si="16"/>
        <v>369.20400023205366</v>
      </c>
      <c r="F50" s="26">
        <f t="shared" si="17"/>
        <v>645.0600000340246</v>
      </c>
      <c r="G50" s="26"/>
      <c r="H50" s="26"/>
      <c r="I50" s="26"/>
      <c r="J50" s="26"/>
      <c r="K50" s="26"/>
    </row>
    <row r="51" spans="1:11" x14ac:dyDescent="0.3">
      <c r="B51" s="26"/>
      <c r="C51" s="26"/>
      <c r="D51" s="26"/>
      <c r="E51" s="26"/>
      <c r="F51" s="26"/>
      <c r="H51" s="26"/>
      <c r="I51" s="26"/>
      <c r="J51" s="26"/>
    </row>
    <row r="52" spans="1:11" x14ac:dyDescent="0.3">
      <c r="A52" s="23" t="str">
        <f>$A$14</f>
        <v>All industries</v>
      </c>
      <c r="B52" s="28">
        <f>C14-B14</f>
        <v>1556.5879999961144</v>
      </c>
      <c r="C52" s="28">
        <f>D14-C14</f>
        <v>-353.07899999884467</v>
      </c>
      <c r="D52" s="28">
        <f t="shared" si="16"/>
        <v>895.06700001499485</v>
      </c>
      <c r="E52" s="28">
        <f t="shared" si="16"/>
        <v>1315.3429999888795</v>
      </c>
      <c r="F52" s="28">
        <f t="shared" si="17"/>
        <v>2210.4100000038743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</cols>
  <sheetData>
    <row r="1" spans="1:7" ht="15.45" x14ac:dyDescent="0.4">
      <c r="A1" s="18" t="str">
        <f>CONCATENATE("Industry Table 2  Employment by Industry Group (SIC 2007), ",B$3,"-",F$3,", ",Info!B5)</f>
        <v>Industry Table 2  Employment by Industry Group (SIC 2007), 2015-2035, England</v>
      </c>
    </row>
    <row r="2" spans="1:7" x14ac:dyDescent="0.3">
      <c r="A2" s="1" t="s">
        <v>530</v>
      </c>
    </row>
    <row r="3" spans="1:7" x14ac:dyDescent="0.3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3">
      <c r="A4" s="1" t="s">
        <v>13</v>
      </c>
    </row>
    <row r="5" spans="1:7" x14ac:dyDescent="0.3">
      <c r="A5" s="10" t="str">
        <f>name!B4</f>
        <v>Agriculture</v>
      </c>
      <c r="B5" s="11">
        <f t="array" ref="B5:B26">MMULT(aggregation!$B$3:$BX$24,'Ind T3'!B5:B79)</f>
        <v>262.66400000087742</v>
      </c>
      <c r="C5" s="11">
        <f t="array" ref="C5:C26">MMULT(aggregation!$B$3:$BX$24,'Ind T3'!C5:C79)</f>
        <v>270.40100000186817</v>
      </c>
      <c r="D5" s="11">
        <f t="array" ref="D5:D26">MMULT(aggregation!$B$3:$BX$24,'Ind T3'!D5:D79)</f>
        <v>239.69399999875475</v>
      </c>
      <c r="E5" s="11">
        <f t="array" ref="E5:E26">MMULT(aggregation!$B$3:$BX$24,'Ind T3'!E5:E79)</f>
        <v>246.8979999987769</v>
      </c>
      <c r="F5" s="11">
        <f t="array" ref="F5:F26">MMULT(aggregation!$B$3:$BX$24,'Ind T3'!F5:F79)</f>
        <v>249.14899999809109</v>
      </c>
      <c r="G5" s="10"/>
    </row>
    <row r="6" spans="1:7" x14ac:dyDescent="0.3">
      <c r="A6" s="10" t="str">
        <f>name!B5</f>
        <v>Mining and quarrying</v>
      </c>
      <c r="B6" s="11">
        <v>30.394999999857781</v>
      </c>
      <c r="C6" s="11">
        <v>23.973999999977273</v>
      </c>
      <c r="D6" s="11">
        <v>24.505999999997869</v>
      </c>
      <c r="E6" s="11">
        <v>19.748000000062095</v>
      </c>
      <c r="F6" s="11">
        <v>14.698000000043045</v>
      </c>
    </row>
    <row r="7" spans="1:7" x14ac:dyDescent="0.3">
      <c r="A7" s="10" t="str">
        <f>name!B6</f>
        <v>Food drink and tobacco</v>
      </c>
      <c r="B7" s="11">
        <v>338.92800000130188</v>
      </c>
      <c r="C7" s="11">
        <v>366.44100000040532</v>
      </c>
      <c r="D7" s="11">
        <v>367.30900000027196</v>
      </c>
      <c r="E7" s="11">
        <v>371.81200000413804</v>
      </c>
      <c r="F7" s="11">
        <v>362.09299999941987</v>
      </c>
      <c r="G7" s="11"/>
    </row>
    <row r="8" spans="1:7" x14ac:dyDescent="0.3">
      <c r="A8" s="10" t="str">
        <f>name!B7</f>
        <v>Engineering</v>
      </c>
      <c r="B8" s="11">
        <v>331.15499999898384</v>
      </c>
      <c r="C8" s="11">
        <v>338.70199999916076</v>
      </c>
      <c r="D8" s="11">
        <v>322.65599999908096</v>
      </c>
      <c r="E8" s="11">
        <v>328.98500000143895</v>
      </c>
      <c r="F8" s="11">
        <v>290.17600000016159</v>
      </c>
      <c r="G8" s="11"/>
    </row>
    <row r="9" spans="1:7" x14ac:dyDescent="0.3">
      <c r="A9" s="10" t="str">
        <f>name!B8</f>
        <v>Rest of manufacturing</v>
      </c>
      <c r="B9" s="11">
        <v>1527.5589999988133</v>
      </c>
      <c r="C9" s="11">
        <v>1549.3069999972588</v>
      </c>
      <c r="D9" s="11">
        <v>1518.4449999969531</v>
      </c>
      <c r="E9" s="11">
        <v>1429.9260000060156</v>
      </c>
      <c r="F9" s="11">
        <v>1306.8919999999423</v>
      </c>
      <c r="G9" s="11"/>
    </row>
    <row r="10" spans="1:7" x14ac:dyDescent="0.3">
      <c r="A10" s="10" t="str">
        <f>name!B9</f>
        <v>Electricity and gas</v>
      </c>
      <c r="B10" s="11">
        <v>98.78599999956451</v>
      </c>
      <c r="C10" s="11">
        <v>119.00299999947046</v>
      </c>
      <c r="D10" s="11">
        <v>118.73099999947833</v>
      </c>
      <c r="E10" s="11">
        <v>114.24900000085233</v>
      </c>
      <c r="F10" s="11">
        <v>113.49399999960092</v>
      </c>
      <c r="G10" s="11"/>
    </row>
    <row r="11" spans="1:7" x14ac:dyDescent="0.3">
      <c r="A11" s="10" t="str">
        <f>name!B10</f>
        <v>Water and sewerage</v>
      </c>
      <c r="B11" s="11">
        <v>163.35100000011215</v>
      </c>
      <c r="C11" s="11">
        <v>185.57900000008738</v>
      </c>
      <c r="D11" s="11">
        <v>171.61299999982808</v>
      </c>
      <c r="E11" s="11">
        <v>180.39100000091514</v>
      </c>
      <c r="F11" s="11">
        <v>194.4440000004613</v>
      </c>
      <c r="G11" s="11"/>
    </row>
    <row r="12" spans="1:7" x14ac:dyDescent="0.3">
      <c r="A12" s="10" t="str">
        <f>name!B11</f>
        <v>Construction</v>
      </c>
      <c r="B12" s="11">
        <v>1800.3539999823467</v>
      </c>
      <c r="C12" s="11">
        <v>1996.7570000194819</v>
      </c>
      <c r="D12" s="11">
        <v>1999.7949999736827</v>
      </c>
      <c r="E12" s="11">
        <v>2097.9509999332668</v>
      </c>
      <c r="F12" s="11">
        <v>2251.9169999468199</v>
      </c>
      <c r="G12" s="11"/>
    </row>
    <row r="13" spans="1:7" x14ac:dyDescent="0.3">
      <c r="A13" s="10" t="str">
        <f>name!B12</f>
        <v>Wholesale and retail trade</v>
      </c>
      <c r="B13" s="11">
        <v>4242.0110000769037</v>
      </c>
      <c r="C13" s="11">
        <v>4291.2060000558395</v>
      </c>
      <c r="D13" s="11">
        <v>4259.6270000357363</v>
      </c>
      <c r="E13" s="11">
        <v>4283.6300000971387</v>
      </c>
      <c r="F13" s="11">
        <v>4328.4679999876525</v>
      </c>
      <c r="G13" s="11"/>
    </row>
    <row r="14" spans="1:7" x14ac:dyDescent="0.3">
      <c r="A14" s="10" t="str">
        <f>name!B13</f>
        <v>Transport and storage</v>
      </c>
      <c r="B14" s="11">
        <v>1399.6460000121267</v>
      </c>
      <c r="C14" s="11">
        <v>1594.7559999919511</v>
      </c>
      <c r="D14" s="11">
        <v>1582.7790000029988</v>
      </c>
      <c r="E14" s="11">
        <v>1687.9900000238249</v>
      </c>
      <c r="F14" s="11">
        <v>1720.9670000086528</v>
      </c>
      <c r="G14" s="11"/>
    </row>
    <row r="15" spans="1:7" x14ac:dyDescent="0.3">
      <c r="A15" s="10" t="str">
        <f>name!B14</f>
        <v>Accommodation and food</v>
      </c>
      <c r="B15" s="11">
        <v>1883.3990000314909</v>
      </c>
      <c r="C15" s="11">
        <v>2121.9480000300359</v>
      </c>
      <c r="D15" s="11">
        <v>2036.099000009757</v>
      </c>
      <c r="E15" s="11">
        <v>2133.4810000418465</v>
      </c>
      <c r="F15" s="11">
        <v>2441.3599999885669</v>
      </c>
      <c r="G15" s="11"/>
    </row>
    <row r="16" spans="1:7" x14ac:dyDescent="0.3">
      <c r="A16" s="10" t="str">
        <f>name!B15</f>
        <v>Media</v>
      </c>
      <c r="B16" s="11">
        <v>339.44299999972969</v>
      </c>
      <c r="C16" s="11">
        <v>345.15599999886928</v>
      </c>
      <c r="D16" s="11">
        <v>348.37000000072254</v>
      </c>
      <c r="E16" s="11">
        <v>352.73400000536964</v>
      </c>
      <c r="F16" s="11">
        <v>356.61500000332785</v>
      </c>
      <c r="G16" s="11"/>
    </row>
    <row r="17" spans="1:7" x14ac:dyDescent="0.3">
      <c r="A17" s="10" t="str">
        <f>name!B16</f>
        <v>Information technology</v>
      </c>
      <c r="B17" s="11">
        <v>935.88699998858351</v>
      </c>
      <c r="C17" s="11">
        <v>995.06599998853699</v>
      </c>
      <c r="D17" s="11">
        <v>1001.099999995333</v>
      </c>
      <c r="E17" s="11">
        <v>1075.749000006987</v>
      </c>
      <c r="F17" s="11">
        <v>1161.9129999989966</v>
      </c>
      <c r="G17" s="11"/>
    </row>
    <row r="18" spans="1:7" x14ac:dyDescent="0.3">
      <c r="A18" s="10" t="str">
        <f>name!B17</f>
        <v>Finance and insurance</v>
      </c>
      <c r="B18" s="11">
        <v>974.26999999089708</v>
      </c>
      <c r="C18" s="11">
        <v>998.31399998994925</v>
      </c>
      <c r="D18" s="11">
        <v>1005.1659999970918</v>
      </c>
      <c r="E18" s="11">
        <v>1006.8290000143252</v>
      </c>
      <c r="F18" s="11">
        <v>981.78100000498785</v>
      </c>
      <c r="G18" s="11"/>
    </row>
    <row r="19" spans="1:7" x14ac:dyDescent="0.3">
      <c r="A19" s="10" t="str">
        <f>name!B18</f>
        <v>Real estate</v>
      </c>
      <c r="B19" s="11">
        <v>499.70899999841942</v>
      </c>
      <c r="C19" s="11">
        <v>512.23999999889179</v>
      </c>
      <c r="D19" s="11">
        <v>566.08499999823994</v>
      </c>
      <c r="E19" s="11">
        <v>548.04900000477232</v>
      </c>
      <c r="F19" s="11">
        <v>597.86399999991784</v>
      </c>
      <c r="G19" s="11"/>
    </row>
    <row r="20" spans="1:7" x14ac:dyDescent="0.3">
      <c r="A20" s="10" t="str">
        <f>name!B19</f>
        <v>Professional services</v>
      </c>
      <c r="B20" s="11">
        <v>2607.9309999661605</v>
      </c>
      <c r="C20" s="11">
        <v>2881.7529999625121</v>
      </c>
      <c r="D20" s="11">
        <v>2807.1649999882252</v>
      </c>
      <c r="E20" s="11">
        <v>2948.756000032356</v>
      </c>
      <c r="F20" s="11">
        <v>3140.8240000163</v>
      </c>
      <c r="G20" s="11"/>
    </row>
    <row r="21" spans="1:7" x14ac:dyDescent="0.3">
      <c r="A21" s="10" t="str">
        <f>name!B20</f>
        <v>Support services</v>
      </c>
      <c r="B21" s="11">
        <v>2500.2860000175151</v>
      </c>
      <c r="C21" s="11">
        <v>2639.3450000139492</v>
      </c>
      <c r="D21" s="11">
        <v>2483.2400000000944</v>
      </c>
      <c r="E21" s="11">
        <v>2630.4030000153866</v>
      </c>
      <c r="F21" s="11">
        <v>2812.4619999993538</v>
      </c>
      <c r="G21" s="11"/>
    </row>
    <row r="22" spans="1:7" x14ac:dyDescent="0.3">
      <c r="A22" s="10" t="str">
        <f>name!B21</f>
        <v>Public admin. and defence</v>
      </c>
      <c r="B22" s="11">
        <v>1050.7089999919901</v>
      </c>
      <c r="C22" s="11">
        <v>1063.7109999941283</v>
      </c>
      <c r="D22" s="11">
        <v>1106.4329999965846</v>
      </c>
      <c r="E22" s="11">
        <v>1135.5730000018098</v>
      </c>
      <c r="F22" s="11">
        <v>1158.0480000032949</v>
      </c>
      <c r="G22" s="11"/>
    </row>
    <row r="23" spans="1:7" x14ac:dyDescent="0.3">
      <c r="A23" s="10" t="str">
        <f>name!B22</f>
        <v>Education</v>
      </c>
      <c r="B23" s="11">
        <v>2527.3159999829504</v>
      </c>
      <c r="C23" s="11">
        <v>2523.798999987217</v>
      </c>
      <c r="D23" s="11">
        <v>2531.7800000098377</v>
      </c>
      <c r="E23" s="11">
        <v>2543.3239998348904</v>
      </c>
      <c r="F23" s="11">
        <v>2633.2330000334459</v>
      </c>
      <c r="G23" s="11"/>
    </row>
    <row r="24" spans="1:7" x14ac:dyDescent="0.3">
      <c r="A24" s="10" t="str">
        <f>name!B23</f>
        <v>Health and social work</v>
      </c>
      <c r="B24" s="11">
        <v>3471.2599999517329</v>
      </c>
      <c r="C24" s="11">
        <v>3668.4709999604661</v>
      </c>
      <c r="D24" s="11">
        <v>3648.0419999931846</v>
      </c>
      <c r="E24" s="11">
        <v>3883.2139999648793</v>
      </c>
      <c r="F24" s="11">
        <v>4140.0339999968919</v>
      </c>
      <c r="G24" s="11"/>
    </row>
    <row r="25" spans="1:7" x14ac:dyDescent="0.3">
      <c r="A25" s="10" t="str">
        <f>name!B24</f>
        <v>Arts and entertainment</v>
      </c>
      <c r="B25" s="11">
        <v>835.68700000489434</v>
      </c>
      <c r="C25" s="11">
        <v>862.71200000122587</v>
      </c>
      <c r="D25" s="11">
        <v>864.73800000184247</v>
      </c>
      <c r="E25" s="11">
        <v>885.60900001319487</v>
      </c>
      <c r="F25" s="11">
        <v>957.57500000916639</v>
      </c>
      <c r="G25" s="11"/>
    </row>
    <row r="26" spans="1:7" x14ac:dyDescent="0.3">
      <c r="A26" s="10" t="str">
        <f>name!B25</f>
        <v>Other services</v>
      </c>
      <c r="B26" s="11">
        <v>835.42600000250945</v>
      </c>
      <c r="C26" s="11">
        <v>864.11900000259288</v>
      </c>
      <c r="D26" s="11">
        <v>856.30799999733563</v>
      </c>
      <c r="E26" s="11">
        <v>849.44700000778357</v>
      </c>
      <c r="F26" s="11">
        <v>856.08400000381198</v>
      </c>
      <c r="G26" s="11"/>
    </row>
    <row r="27" spans="1:7" x14ac:dyDescent="0.3">
      <c r="B27" s="11"/>
      <c r="C27" s="11"/>
      <c r="D27" s="11"/>
      <c r="E27" s="11"/>
      <c r="F27" s="11"/>
      <c r="G27" s="11"/>
    </row>
    <row r="28" spans="1:7" x14ac:dyDescent="0.3">
      <c r="A28" s="10" t="str">
        <f>name!B3</f>
        <v>All industries</v>
      </c>
      <c r="B28" s="11">
        <f>SUM(B5:B26)</f>
        <v>28656.171999997765</v>
      </c>
      <c r="C28" s="11">
        <f t="shared" ref="C28:F28" si="0">SUM(C5:C26)</f>
        <v>30212.759999993876</v>
      </c>
      <c r="D28" s="11">
        <f t="shared" si="0"/>
        <v>29859.680999995031</v>
      </c>
      <c r="E28" s="11">
        <f t="shared" si="0"/>
        <v>30754.748000010033</v>
      </c>
      <c r="F28" s="11">
        <f t="shared" si="0"/>
        <v>32070.090999998905</v>
      </c>
      <c r="G28" s="11"/>
    </row>
    <row r="29" spans="1:7" x14ac:dyDescent="0.3">
      <c r="B29" s="11"/>
      <c r="C29" s="11"/>
      <c r="D29" s="11"/>
      <c r="E29" s="11"/>
      <c r="F29" s="11"/>
      <c r="G29" s="11"/>
    </row>
    <row r="31" spans="1:7" x14ac:dyDescent="0.3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3">
      <c r="A32" t="str">
        <f>$A$5</f>
        <v>Agriculture</v>
      </c>
      <c r="B32" s="17">
        <f>B5/B$28*100</f>
        <v>0.9166053302614805</v>
      </c>
      <c r="C32" s="17">
        <f t="shared" ref="C32:E32" si="1">C5/C$28*100</f>
        <v>0.89498940183526088</v>
      </c>
      <c r="D32" s="17">
        <f t="shared" si="1"/>
        <v>0.8027346306840808</v>
      </c>
      <c r="E32" s="17">
        <f t="shared" si="1"/>
        <v>0.80279636821831979</v>
      </c>
      <c r="F32" s="17">
        <f>F5/F$28*100</f>
        <v>0.77688897109178634</v>
      </c>
    </row>
    <row r="33" spans="1:6" x14ac:dyDescent="0.3">
      <c r="A33" t="str">
        <f>$A$6</f>
        <v>Mining and quarrying</v>
      </c>
      <c r="B33" s="17">
        <f t="shared" ref="B33:F53" si="2">B6/B$28*100</f>
        <v>0.10606790048531309</v>
      </c>
      <c r="C33" s="17">
        <f t="shared" si="2"/>
        <v>7.935057902681561E-2</v>
      </c>
      <c r="D33" s="17">
        <f t="shared" si="2"/>
        <v>8.2070535180874662E-2</v>
      </c>
      <c r="E33" s="17">
        <f t="shared" si="2"/>
        <v>6.4211223581008225E-2</v>
      </c>
      <c r="F33" s="17">
        <f t="shared" si="2"/>
        <v>4.5830864652188066E-2</v>
      </c>
    </row>
    <row r="34" spans="1:6" x14ac:dyDescent="0.3">
      <c r="A34" t="str">
        <f>$A$7</f>
        <v>Food drink and tobacco</v>
      </c>
      <c r="B34" s="17">
        <f t="shared" si="2"/>
        <v>1.182739969600016</v>
      </c>
      <c r="C34" s="17">
        <f t="shared" si="2"/>
        <v>1.2128683377502736</v>
      </c>
      <c r="D34" s="17">
        <f t="shared" si="2"/>
        <v>1.2301169593885919</v>
      </c>
      <c r="E34" s="17">
        <f t="shared" si="2"/>
        <v>1.2089580444750083</v>
      </c>
      <c r="F34" s="17">
        <f t="shared" si="2"/>
        <v>1.1290675788834907</v>
      </c>
    </row>
    <row r="35" spans="1:6" x14ac:dyDescent="0.3">
      <c r="A35" t="str">
        <f>$A$8</f>
        <v>Engineering</v>
      </c>
      <c r="B35" s="17">
        <f t="shared" si="2"/>
        <v>1.1556149230225505</v>
      </c>
      <c r="C35" s="17">
        <f t="shared" si="2"/>
        <v>1.1210561365437299</v>
      </c>
      <c r="D35" s="17">
        <f t="shared" si="2"/>
        <v>1.0805741695604003</v>
      </c>
      <c r="E35" s="17">
        <f t="shared" si="2"/>
        <v>1.0697047493327914</v>
      </c>
      <c r="F35" s="17">
        <f t="shared" si="2"/>
        <v>0.90481813724872651</v>
      </c>
    </row>
    <row r="36" spans="1:6" x14ac:dyDescent="0.3">
      <c r="A36" t="str">
        <f>$A$9</f>
        <v>Rest of manufacturing</v>
      </c>
      <c r="B36" s="17">
        <f t="shared" si="2"/>
        <v>5.3306456982423631</v>
      </c>
      <c r="C36" s="17">
        <f t="shared" si="2"/>
        <v>5.1279889688911995</v>
      </c>
      <c r="D36" s="17">
        <f t="shared" si="2"/>
        <v>5.0852686604294464</v>
      </c>
      <c r="E36" s="17">
        <f t="shared" si="2"/>
        <v>4.6494479486729956</v>
      </c>
      <c r="F36" s="17">
        <f t="shared" si="2"/>
        <v>4.0751116047659073</v>
      </c>
    </row>
    <row r="37" spans="1:6" x14ac:dyDescent="0.3">
      <c r="A37" t="str">
        <f>$A$10</f>
        <v>Electricity and gas</v>
      </c>
      <c r="B37" s="17">
        <f t="shared" si="2"/>
        <v>0.34472852828902695</v>
      </c>
      <c r="C37" s="17">
        <f t="shared" si="2"/>
        <v>0.39388324667953067</v>
      </c>
      <c r="D37" s="17">
        <f t="shared" si="2"/>
        <v>0.39762983402099339</v>
      </c>
      <c r="E37" s="17">
        <f t="shared" si="2"/>
        <v>0.37148410385549269</v>
      </c>
      <c r="F37" s="17">
        <f t="shared" si="2"/>
        <v>0.35389360136085918</v>
      </c>
    </row>
    <row r="38" spans="1:6" x14ac:dyDescent="0.3">
      <c r="A38" t="str">
        <f>$A$11</f>
        <v>Water and sewerage</v>
      </c>
      <c r="B38" s="17">
        <f t="shared" si="2"/>
        <v>0.57003775661356615</v>
      </c>
      <c r="C38" s="17">
        <f t="shared" si="2"/>
        <v>0.61424047323092956</v>
      </c>
      <c r="D38" s="17">
        <f t="shared" si="2"/>
        <v>0.57473152509518322</v>
      </c>
      <c r="E38" s="17">
        <f t="shared" si="2"/>
        <v>0.58654683173101041</v>
      </c>
      <c r="F38" s="17">
        <f t="shared" si="2"/>
        <v>0.60630947383488232</v>
      </c>
    </row>
    <row r="39" spans="1:6" x14ac:dyDescent="0.3">
      <c r="A39" t="str">
        <f>$A$12</f>
        <v>Construction</v>
      </c>
      <c r="B39" s="17">
        <f t="shared" si="2"/>
        <v>6.2826046688388359</v>
      </c>
      <c r="C39" s="17">
        <f t="shared" si="2"/>
        <v>6.6089857398658278</v>
      </c>
      <c r="D39" s="17">
        <f t="shared" si="2"/>
        <v>6.6973086550188379</v>
      </c>
      <c r="E39" s="17">
        <f t="shared" si="2"/>
        <v>6.8215515858968585</v>
      </c>
      <c r="F39" s="17">
        <f t="shared" si="2"/>
        <v>7.0218603369316819</v>
      </c>
    </row>
    <row r="40" spans="1:6" x14ac:dyDescent="0.3">
      <c r="A40" t="str">
        <f>$A$13</f>
        <v>Wholesale and retail trade</v>
      </c>
      <c r="B40" s="17">
        <f t="shared" si="2"/>
        <v>14.803132114356496</v>
      </c>
      <c r="C40" s="17">
        <f t="shared" si="2"/>
        <v>14.203290265625219</v>
      </c>
      <c r="D40" s="17">
        <f t="shared" si="2"/>
        <v>14.265480599194763</v>
      </c>
      <c r="E40" s="17">
        <f t="shared" si="2"/>
        <v>13.928353436990415</v>
      </c>
      <c r="F40" s="17">
        <f t="shared" si="2"/>
        <v>13.49689965016875</v>
      </c>
    </row>
    <row r="41" spans="1:6" x14ac:dyDescent="0.3">
      <c r="A41" t="str">
        <f>$A$14</f>
        <v>Transport and storage</v>
      </c>
      <c r="B41" s="17">
        <f t="shared" si="2"/>
        <v>4.8842741452425527</v>
      </c>
      <c r="C41" s="17">
        <f t="shared" si="2"/>
        <v>5.278418787268274</v>
      </c>
      <c r="D41" s="17">
        <f t="shared" si="2"/>
        <v>5.3007230720357068</v>
      </c>
      <c r="E41" s="17">
        <f t="shared" si="2"/>
        <v>5.4885509061016347</v>
      </c>
      <c r="F41" s="17">
        <f t="shared" si="2"/>
        <v>5.3662679036636085</v>
      </c>
    </row>
    <row r="42" spans="1:6" x14ac:dyDescent="0.3">
      <c r="A42" t="str">
        <f>$A$15</f>
        <v>Accommodation and food</v>
      </c>
      <c r="B42" s="17">
        <f t="shared" si="2"/>
        <v>6.5724026224843914</v>
      </c>
      <c r="C42" s="17">
        <f t="shared" si="2"/>
        <v>7.0233503990713393</v>
      </c>
      <c r="D42" s="17">
        <f t="shared" si="2"/>
        <v>6.8188906640030602</v>
      </c>
      <c r="E42" s="17">
        <f t="shared" si="2"/>
        <v>6.9370784635957694</v>
      </c>
      <c r="F42" s="17">
        <f t="shared" si="2"/>
        <v>7.6125758420475016</v>
      </c>
    </row>
    <row r="43" spans="1:6" x14ac:dyDescent="0.3">
      <c r="A43" t="str">
        <f>$A$16</f>
        <v>Media</v>
      </c>
      <c r="B43" s="17">
        <f t="shared" si="2"/>
        <v>1.1845371391536741</v>
      </c>
      <c r="C43" s="17">
        <f t="shared" si="2"/>
        <v>1.1424179717408778</v>
      </c>
      <c r="D43" s="17">
        <f t="shared" si="2"/>
        <v>1.1666902938473473</v>
      </c>
      <c r="E43" s="17">
        <f t="shared" si="2"/>
        <v>1.1469253463083311</v>
      </c>
      <c r="F43" s="17">
        <f t="shared" si="2"/>
        <v>1.1119862428932303</v>
      </c>
    </row>
    <row r="44" spans="1:6" x14ac:dyDescent="0.3">
      <c r="A44" t="str">
        <f>$A$17</f>
        <v>Information technology</v>
      </c>
      <c r="B44" s="17">
        <f t="shared" si="2"/>
        <v>3.2659177226764848</v>
      </c>
      <c r="C44" s="17">
        <f t="shared" si="2"/>
        <v>3.2935289592501271</v>
      </c>
      <c r="D44" s="17">
        <f t="shared" si="2"/>
        <v>3.3526814971516257</v>
      </c>
      <c r="E44" s="17">
        <f t="shared" si="2"/>
        <v>3.4978306439273577</v>
      </c>
      <c r="F44" s="17">
        <f t="shared" si="2"/>
        <v>3.6230424166836204</v>
      </c>
    </row>
    <row r="45" spans="1:6" x14ac:dyDescent="0.3">
      <c r="A45" t="str">
        <f>$A$18</f>
        <v>Finance and insurance</v>
      </c>
      <c r="B45" s="17">
        <f t="shared" si="2"/>
        <v>3.3998609444100665</v>
      </c>
      <c r="C45" s="17">
        <f t="shared" si="2"/>
        <v>3.3042793839098166</v>
      </c>
      <c r="D45" s="17">
        <f t="shared" si="2"/>
        <v>3.3662985213983339</v>
      </c>
      <c r="E45" s="17">
        <f t="shared" si="2"/>
        <v>3.2737351644500445</v>
      </c>
      <c r="F45" s="17">
        <f t="shared" si="2"/>
        <v>3.0613601938485968</v>
      </c>
    </row>
    <row r="46" spans="1:6" x14ac:dyDescent="0.3">
      <c r="A46" t="str">
        <f>$A$19</f>
        <v>Real estate</v>
      </c>
      <c r="B46" s="17">
        <f t="shared" si="2"/>
        <v>1.7438093266555574</v>
      </c>
      <c r="C46" s="17">
        <f t="shared" si="2"/>
        <v>1.6954425878304253</v>
      </c>
      <c r="D46" s="17">
        <f t="shared" si="2"/>
        <v>1.8958173062811157</v>
      </c>
      <c r="E46" s="17">
        <f t="shared" si="2"/>
        <v>1.781998018662333</v>
      </c>
      <c r="F46" s="17">
        <f t="shared" si="2"/>
        <v>1.8642416699096311</v>
      </c>
    </row>
    <row r="47" spans="1:6" x14ac:dyDescent="0.3">
      <c r="A47" s="10" t="str">
        <f>$A$20</f>
        <v>Professional services</v>
      </c>
      <c r="B47" s="17">
        <f t="shared" si="2"/>
        <v>9.1007654475495325</v>
      </c>
      <c r="C47" s="17">
        <f t="shared" si="2"/>
        <v>9.5381984299451492</v>
      </c>
      <c r="D47" s="17">
        <f t="shared" si="2"/>
        <v>9.4011888472240948</v>
      </c>
      <c r="E47" s="17">
        <f t="shared" si="2"/>
        <v>9.5879699616832958</v>
      </c>
      <c r="F47" s="17">
        <f t="shared" si="2"/>
        <v>9.7936235978139479</v>
      </c>
    </row>
    <row r="48" spans="1:6" x14ac:dyDescent="0.3">
      <c r="A48" s="10" t="str">
        <f>$A$21</f>
        <v>Support services</v>
      </c>
      <c r="B48" s="17">
        <f t="shared" si="2"/>
        <v>8.7251221133712829</v>
      </c>
      <c r="C48" s="17">
        <f t="shared" si="2"/>
        <v>8.7358619338798711</v>
      </c>
      <c r="D48" s="17">
        <f t="shared" si="2"/>
        <v>8.3163647997462125</v>
      </c>
      <c r="E48" s="17">
        <f t="shared" si="2"/>
        <v>8.5528354841812675</v>
      </c>
      <c r="F48" s="17">
        <f t="shared" si="2"/>
        <v>8.7697350157174476</v>
      </c>
    </row>
    <row r="49" spans="1:6" x14ac:dyDescent="0.3">
      <c r="A49" s="10" t="str">
        <f>$A$22</f>
        <v>Public admin. and defence</v>
      </c>
      <c r="B49" s="17">
        <f t="shared" si="2"/>
        <v>3.6666062724360815</v>
      </c>
      <c r="C49" s="17">
        <f t="shared" si="2"/>
        <v>3.5207342857598709</v>
      </c>
      <c r="D49" s="17">
        <f t="shared" si="2"/>
        <v>3.7054414613363376</v>
      </c>
      <c r="E49" s="17">
        <f t="shared" si="2"/>
        <v>3.6923502023214088</v>
      </c>
      <c r="F49" s="17">
        <f t="shared" si="2"/>
        <v>3.6109906891231907</v>
      </c>
    </row>
    <row r="50" spans="1:6" x14ac:dyDescent="0.3">
      <c r="A50" s="10" t="str">
        <f>$A$23</f>
        <v>Education</v>
      </c>
      <c r="B50" s="17">
        <f t="shared" si="2"/>
        <v>8.8194473427335218</v>
      </c>
      <c r="C50" s="17">
        <f t="shared" si="2"/>
        <v>8.3534208724649073</v>
      </c>
      <c r="D50" s="17">
        <f t="shared" si="2"/>
        <v>8.4789251432734964</v>
      </c>
      <c r="E50" s="17">
        <f t="shared" si="2"/>
        <v>8.2696954624179035</v>
      </c>
      <c r="F50" s="17">
        <f t="shared" si="2"/>
        <v>8.2108685006024338</v>
      </c>
    </row>
    <row r="51" spans="1:6" x14ac:dyDescent="0.3">
      <c r="A51" s="10" t="str">
        <f>$A$24</f>
        <v>Health and social work</v>
      </c>
      <c r="B51" s="17">
        <f t="shared" si="2"/>
        <v>12.113481172405036</v>
      </c>
      <c r="C51" s="17">
        <f t="shared" si="2"/>
        <v>12.142124718037046</v>
      </c>
      <c r="D51" s="17">
        <f t="shared" si="2"/>
        <v>12.217283901974008</v>
      </c>
      <c r="E51" s="17">
        <f t="shared" si="2"/>
        <v>12.626388614738811</v>
      </c>
      <c r="F51" s="17">
        <f t="shared" si="2"/>
        <v>12.909330378878666</v>
      </c>
    </row>
    <row r="52" spans="1:6" x14ac:dyDescent="0.3">
      <c r="A52" s="10" t="str">
        <f>$A$25</f>
        <v>Arts and entertainment</v>
      </c>
      <c r="B52" s="17">
        <f t="shared" si="2"/>
        <v>2.9162548298668769</v>
      </c>
      <c r="C52" s="17">
        <f t="shared" si="2"/>
        <v>2.8554557743198594</v>
      </c>
      <c r="D52" s="17">
        <f t="shared" si="2"/>
        <v>2.8960054864684803</v>
      </c>
      <c r="E52" s="17">
        <f t="shared" si="2"/>
        <v>2.8795846417369635</v>
      </c>
      <c r="F52" s="17">
        <f t="shared" si="2"/>
        <v>2.9858817675609313</v>
      </c>
    </row>
    <row r="53" spans="1:6" x14ac:dyDescent="0.3">
      <c r="A53" s="10" t="str">
        <f>$A$26</f>
        <v>Other services</v>
      </c>
      <c r="B53" s="17">
        <f t="shared" si="2"/>
        <v>2.915344031305279</v>
      </c>
      <c r="C53" s="17">
        <f t="shared" si="2"/>
        <v>2.8601127470736469</v>
      </c>
      <c r="D53" s="17">
        <f t="shared" si="2"/>
        <v>2.8677734366870098</v>
      </c>
      <c r="E53" s="17">
        <f t="shared" si="2"/>
        <v>2.7620027971209731</v>
      </c>
      <c r="F53" s="17">
        <f t="shared" si="2"/>
        <v>2.669415562318926</v>
      </c>
    </row>
    <row r="54" spans="1:6" x14ac:dyDescent="0.3">
      <c r="B54" s="17"/>
      <c r="C54" s="17"/>
      <c r="D54" s="17"/>
      <c r="E54" s="17"/>
      <c r="F54" s="17"/>
    </row>
    <row r="55" spans="1:6" x14ac:dyDescent="0.3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3">
      <c r="B56" s="17"/>
      <c r="C56" s="17"/>
      <c r="D56" s="17"/>
      <c r="E56" s="17"/>
      <c r="F56" s="17"/>
    </row>
    <row r="57" spans="1:6" x14ac:dyDescent="0.3">
      <c r="B57" s="17"/>
      <c r="C57" s="17"/>
      <c r="D57" s="17"/>
      <c r="E57" s="17"/>
      <c r="F57" s="17"/>
    </row>
    <row r="58" spans="1:6" x14ac:dyDescent="0.3">
      <c r="B58" s="17"/>
      <c r="C58" s="17"/>
      <c r="D58" s="17"/>
      <c r="E58" s="17"/>
      <c r="F58" s="17"/>
    </row>
    <row r="59" spans="1:6" ht="15.45" x14ac:dyDescent="0.4">
      <c r="A59" s="18" t="str">
        <f>CONCATENATE(A1," (Continued)")</f>
        <v>Industry Table 2  Employment by Industry Group (SIC 2007), 2015-2035, England (Continued)</v>
      </c>
      <c r="B59" s="17"/>
      <c r="C59" s="17"/>
      <c r="D59" s="17"/>
      <c r="E59" s="17"/>
      <c r="F59" s="17"/>
    </row>
    <row r="61" spans="1:6" x14ac:dyDescent="0.3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3">
      <c r="A62" s="27" t="s">
        <v>14</v>
      </c>
    </row>
    <row r="63" spans="1:6" x14ac:dyDescent="0.3">
      <c r="A63" t="str">
        <f>$A$5</f>
        <v>Agriculture</v>
      </c>
      <c r="B63" s="17">
        <f>IF(AND(C$3-B$3 &lt;&gt; 0,B5&lt;&gt;0,C5&lt;&gt;0),(EXP(LN(C5/B5)/(C$3-B$3))-1)*100,0)</f>
        <v>0.7283998579951545</v>
      </c>
      <c r="C63" s="17">
        <f>IF(AND(D$3-C$3 &lt;&gt; 0,C5&lt;&gt;0,D5&lt;&gt;0),(EXP(LN(D5/C5)/(D$3-C$3))-1)*100,0)</f>
        <v>-11.356097056927039</v>
      </c>
      <c r="D63" s="17">
        <f t="shared" ref="B63:E78" si="3">IF(AND(E$3-D$3 &lt;&gt; 0,D5&lt;&gt;0,E5&lt;&gt;0),(EXP(LN(E5/D5)/(E$3-D$3))-1)*100,0)</f>
        <v>0.59400095114181539</v>
      </c>
      <c r="E63" s="17">
        <f t="shared" si="3"/>
        <v>9.0799349647752159E-2</v>
      </c>
      <c r="F63" s="17">
        <f>IF(AND(F$3-D$3 &lt;&gt; 0,D5&lt;&gt;0,F5&lt;&gt;0),(EXP(LN(F5/D5)/(F$3-D$3))-1)*100,0)</f>
        <v>0.25825290801375633</v>
      </c>
    </row>
    <row r="64" spans="1:6" x14ac:dyDescent="0.3">
      <c r="A64" t="str">
        <f>$A$6</f>
        <v>Mining and quarrying</v>
      </c>
      <c r="B64" s="17">
        <f t="shared" si="3"/>
        <v>-5.760149536916237</v>
      </c>
      <c r="C64" s="17">
        <f t="shared" ref="C64:C78" si="4">IF(AND(D$3-C$3 &lt;&gt; 0,C6&lt;&gt;0,D6&lt;&gt;0),(EXP(LN(D6/C6)/(D$3-C$3))-1)*100,0)</f>
        <v>2.2190706599695575</v>
      </c>
      <c r="D64" s="17">
        <f t="shared" si="3"/>
        <v>-4.2254460829095901</v>
      </c>
      <c r="E64" s="17">
        <f t="shared" si="3"/>
        <v>-2.9102210176553123</v>
      </c>
      <c r="F64" s="17">
        <f t="shared" ref="F64:F86" si="5">IF(AND(F$3-D$3 &lt;&gt; 0,D6&lt;&gt;0,F6&lt;&gt;0),(EXP(LN(F6/D6)/(F$3-D$3))-1)*100,0)</f>
        <v>-3.3506240374687857</v>
      </c>
    </row>
    <row r="65" spans="1:6" x14ac:dyDescent="0.3">
      <c r="A65" t="str">
        <f>$A$7</f>
        <v>Food drink and tobacco</v>
      </c>
      <c r="B65" s="17">
        <f t="shared" si="3"/>
        <v>1.9704069912768407</v>
      </c>
      <c r="C65" s="17">
        <f t="shared" si="4"/>
        <v>0.23687305729045427</v>
      </c>
      <c r="D65" s="17">
        <f t="shared" si="3"/>
        <v>0.24399507541972287</v>
      </c>
      <c r="E65" s="17">
        <f t="shared" si="3"/>
        <v>-0.26452217477451745</v>
      </c>
      <c r="F65" s="17">
        <f t="shared" si="5"/>
        <v>-9.5303695488824225E-2</v>
      </c>
    </row>
    <row r="66" spans="1:6" x14ac:dyDescent="0.3">
      <c r="A66" t="str">
        <f>$A$8</f>
        <v>Engineering</v>
      </c>
      <c r="B66" s="17">
        <f t="shared" si="3"/>
        <v>0.56494284275070417</v>
      </c>
      <c r="C66" s="17">
        <f t="shared" si="4"/>
        <v>-4.7374978595105866</v>
      </c>
      <c r="D66" s="17">
        <f t="shared" si="3"/>
        <v>0.38926400828114271</v>
      </c>
      <c r="E66" s="17">
        <f t="shared" si="3"/>
        <v>-1.2473998734408687</v>
      </c>
      <c r="F66" s="17">
        <f t="shared" si="5"/>
        <v>-0.70483169273352075</v>
      </c>
    </row>
    <row r="67" spans="1:6" x14ac:dyDescent="0.3">
      <c r="A67" t="str">
        <f>$A$9</f>
        <v>Rest of manufacturing</v>
      </c>
      <c r="B67" s="17">
        <f t="shared" si="3"/>
        <v>0.35404269721375226</v>
      </c>
      <c r="C67" s="17">
        <f t="shared" si="4"/>
        <v>-1.9919873853510128</v>
      </c>
      <c r="D67" s="17">
        <f t="shared" si="3"/>
        <v>-1.1940952200923838</v>
      </c>
      <c r="E67" s="17">
        <f t="shared" si="3"/>
        <v>-0.89567368434124717</v>
      </c>
      <c r="F67" s="17">
        <f t="shared" si="5"/>
        <v>-0.99524754169800778</v>
      </c>
    </row>
    <row r="68" spans="1:6" x14ac:dyDescent="0.3">
      <c r="A68" t="str">
        <f>$A$10</f>
        <v>Electricity and gas</v>
      </c>
      <c r="B68" s="17">
        <f t="shared" si="3"/>
        <v>4.7648576757263195</v>
      </c>
      <c r="C68" s="17">
        <f t="shared" si="4"/>
        <v>-0.22856566640617748</v>
      </c>
      <c r="D68" s="17">
        <f t="shared" si="3"/>
        <v>-0.76664920017744942</v>
      </c>
      <c r="E68" s="17">
        <f t="shared" si="3"/>
        <v>-6.6281073622831421E-2</v>
      </c>
      <c r="F68" s="17">
        <f t="shared" si="5"/>
        <v>-0.30028462793940669</v>
      </c>
    </row>
    <row r="69" spans="1:6" x14ac:dyDescent="0.3">
      <c r="A69" t="str">
        <f>$A$11</f>
        <v>Water and sewerage</v>
      </c>
      <c r="B69" s="17">
        <f t="shared" si="3"/>
        <v>3.2408943744891561</v>
      </c>
      <c r="C69" s="17">
        <f t="shared" si="4"/>
        <v>-7.5256359826557535</v>
      </c>
      <c r="D69" s="17">
        <f t="shared" si="3"/>
        <v>1.0026890846198233</v>
      </c>
      <c r="E69" s="17">
        <f t="shared" si="3"/>
        <v>0.75299572716360785</v>
      </c>
      <c r="F69" s="17">
        <f t="shared" si="5"/>
        <v>0.83615818436593159</v>
      </c>
    </row>
    <row r="70" spans="1:6" x14ac:dyDescent="0.3">
      <c r="A70" t="str">
        <f>$A$12</f>
        <v>Construction</v>
      </c>
      <c r="B70" s="17">
        <f t="shared" si="3"/>
        <v>2.6223196022649553</v>
      </c>
      <c r="C70" s="17">
        <f t="shared" si="4"/>
        <v>0.15214670358842941</v>
      </c>
      <c r="D70" s="17">
        <f t="shared" si="3"/>
        <v>0.96293625784324988</v>
      </c>
      <c r="E70" s="17">
        <f t="shared" si="3"/>
        <v>0.71072070986890612</v>
      </c>
      <c r="F70" s="17">
        <f t="shared" si="5"/>
        <v>0.794722474715015</v>
      </c>
    </row>
    <row r="71" spans="1:6" x14ac:dyDescent="0.3">
      <c r="A71" t="str">
        <f>$A$13</f>
        <v>Wholesale and retail trade</v>
      </c>
      <c r="B71" s="17">
        <f t="shared" si="3"/>
        <v>0.28867494231583635</v>
      </c>
      <c r="C71" s="17">
        <f t="shared" si="4"/>
        <v>-0.73590035108294094</v>
      </c>
      <c r="D71" s="17">
        <f t="shared" si="3"/>
        <v>0.11244683864457539</v>
      </c>
      <c r="E71" s="17">
        <f t="shared" si="3"/>
        <v>0.10418311078312925</v>
      </c>
      <c r="F71" s="17">
        <f t="shared" si="5"/>
        <v>0.10693761094249243</v>
      </c>
    </row>
    <row r="72" spans="1:6" x14ac:dyDescent="0.3">
      <c r="A72" t="str">
        <f>$A$14</f>
        <v>Transport and storage</v>
      </c>
      <c r="B72" s="17">
        <f t="shared" si="3"/>
        <v>3.3163391789962304</v>
      </c>
      <c r="C72" s="17">
        <f t="shared" si="4"/>
        <v>-0.75102398040908236</v>
      </c>
      <c r="D72" s="17">
        <f t="shared" si="3"/>
        <v>1.2954453069585981</v>
      </c>
      <c r="E72" s="17">
        <f t="shared" si="3"/>
        <v>0.1936659923351014</v>
      </c>
      <c r="F72" s="17">
        <f t="shared" si="5"/>
        <v>0.55958773788067351</v>
      </c>
    </row>
    <row r="73" spans="1:6" x14ac:dyDescent="0.3">
      <c r="A73" t="str">
        <f>$A$15</f>
        <v>Accommodation and food</v>
      </c>
      <c r="B73" s="17">
        <f t="shared" si="3"/>
        <v>3.0262993239237312</v>
      </c>
      <c r="C73" s="17">
        <f t="shared" si="4"/>
        <v>-4.0457636105627355</v>
      </c>
      <c r="D73" s="17">
        <f t="shared" si="3"/>
        <v>0.93876291088685893</v>
      </c>
      <c r="E73" s="17">
        <f t="shared" si="3"/>
        <v>1.3571299587799679</v>
      </c>
      <c r="F73" s="17">
        <f t="shared" si="5"/>
        <v>1.2174819600557552</v>
      </c>
    </row>
    <row r="74" spans="1:6" x14ac:dyDescent="0.3">
      <c r="A74" t="str">
        <f>$A$16</f>
        <v>Media</v>
      </c>
      <c r="B74" s="17">
        <f t="shared" si="3"/>
        <v>0.41813299181927555</v>
      </c>
      <c r="C74" s="17">
        <f t="shared" si="4"/>
        <v>0.9311731512312571</v>
      </c>
      <c r="D74" s="17">
        <f t="shared" si="3"/>
        <v>0.24929218683882315</v>
      </c>
      <c r="E74" s="17">
        <f t="shared" si="3"/>
        <v>0.10948525813434529</v>
      </c>
      <c r="F74" s="17">
        <f t="shared" si="5"/>
        <v>0.15606589051742059</v>
      </c>
    </row>
    <row r="75" spans="1:6" x14ac:dyDescent="0.3">
      <c r="A75" t="str">
        <f>$A$17</f>
        <v>Information technology</v>
      </c>
      <c r="B75" s="17">
        <f t="shared" si="3"/>
        <v>1.5446666266863307</v>
      </c>
      <c r="C75" s="17">
        <f t="shared" si="4"/>
        <v>0.60639193851115269</v>
      </c>
      <c r="D75" s="17">
        <f t="shared" si="3"/>
        <v>1.4487494599613848</v>
      </c>
      <c r="E75" s="17">
        <f t="shared" si="3"/>
        <v>0.77348225329973985</v>
      </c>
      <c r="F75" s="17">
        <f t="shared" si="5"/>
        <v>0.99807042338080354</v>
      </c>
    </row>
    <row r="76" spans="1:6" x14ac:dyDescent="0.3">
      <c r="A76" t="str">
        <f>$A$18</f>
        <v>Finance and insurance</v>
      </c>
      <c r="B76" s="17">
        <f t="shared" si="3"/>
        <v>0.61134572309837765</v>
      </c>
      <c r="C76" s="17">
        <f t="shared" si="4"/>
        <v>0.68635719895859815</v>
      </c>
      <c r="D76" s="17">
        <f t="shared" si="3"/>
        <v>3.3067186240476332E-2</v>
      </c>
      <c r="E76" s="17">
        <f t="shared" si="3"/>
        <v>-0.25161090540002373</v>
      </c>
      <c r="F76" s="17">
        <f t="shared" si="5"/>
        <v>-0.1568083387042507</v>
      </c>
    </row>
    <row r="77" spans="1:6" x14ac:dyDescent="0.3">
      <c r="A77" t="str">
        <f>$A$19</f>
        <v>Real estate</v>
      </c>
      <c r="B77" s="17">
        <f t="shared" si="3"/>
        <v>0.62110430846624709</v>
      </c>
      <c r="C77" s="17">
        <f t="shared" si="4"/>
        <v>10.511674215107103</v>
      </c>
      <c r="D77" s="17">
        <f t="shared" si="3"/>
        <v>-0.64549854095338199</v>
      </c>
      <c r="E77" s="17">
        <f t="shared" si="3"/>
        <v>0.8737814201959182</v>
      </c>
      <c r="F77" s="17">
        <f t="shared" si="5"/>
        <v>0.36479081286955317</v>
      </c>
    </row>
    <row r="78" spans="1:6" x14ac:dyDescent="0.3">
      <c r="A78" t="str">
        <f>$A$20</f>
        <v>Professional services</v>
      </c>
      <c r="B78" s="17">
        <f t="shared" si="3"/>
        <v>2.5274519586056421</v>
      </c>
      <c r="C78" s="17">
        <f t="shared" si="4"/>
        <v>-2.5882856710917723</v>
      </c>
      <c r="D78" s="17">
        <f t="shared" si="3"/>
        <v>0.98902502688482663</v>
      </c>
      <c r="E78" s="17">
        <f t="shared" si="3"/>
        <v>0.63301310656305176</v>
      </c>
      <c r="F78" s="17">
        <f t="shared" si="5"/>
        <v>0.75154407970337012</v>
      </c>
    </row>
    <row r="79" spans="1:6" x14ac:dyDescent="0.3">
      <c r="A79" s="10" t="str">
        <f>$A$21</f>
        <v>Support services</v>
      </c>
      <c r="B79" s="17">
        <f t="shared" ref="B79:B84" si="6">IF(AND(C$3-B$3 &lt;&gt; 0,B21&lt;&gt;0,C21&lt;&gt;0),(EXP(LN(C21/B21)/(C$3-B$3))-1)*100,0)</f>
        <v>1.362337765677557</v>
      </c>
      <c r="C79" s="17">
        <f t="shared" ref="C79:C84" si="7">IF(AND(D$3-C$3 &lt;&gt; 0,C21&lt;&gt;0,D21&lt;&gt;0),(EXP(LN(D21/C21)/(D$3-C$3))-1)*100,0)</f>
        <v>-5.9145356144433503</v>
      </c>
      <c r="D79" s="17">
        <f t="shared" ref="D79:D84" si="8">IF(AND(E$3-D$3 &lt;&gt; 0,D21&lt;&gt;0,E21&lt;&gt;0),(EXP(LN(E21/D21)/(E$3-D$3))-1)*100,0)</f>
        <v>1.1581129426044834</v>
      </c>
      <c r="E79" s="17">
        <f t="shared" ref="E79:E84" si="9">IF(AND(F$3-E$3 &lt;&gt; 0,E21&lt;&gt;0,F21&lt;&gt;0),(EXP(LN(F21/E21)/(F$3-E$3))-1)*100,0)</f>
        <v>0.67147625986130333</v>
      </c>
      <c r="F79" s="17">
        <f t="shared" si="5"/>
        <v>0.83342781409669886</v>
      </c>
    </row>
    <row r="80" spans="1:6" x14ac:dyDescent="0.3">
      <c r="A80" s="10" t="str">
        <f>$A$22</f>
        <v>Public admin. and defence</v>
      </c>
      <c r="B80" s="17">
        <f t="shared" si="6"/>
        <v>0.30793723289141983</v>
      </c>
      <c r="C80" s="17">
        <f t="shared" si="7"/>
        <v>4.0163164621492164</v>
      </c>
      <c r="D80" s="17">
        <f t="shared" si="8"/>
        <v>0.52127477330956573</v>
      </c>
      <c r="E80" s="17">
        <f t="shared" si="9"/>
        <v>0.19617677247203424</v>
      </c>
      <c r="F80" s="17">
        <f t="shared" si="5"/>
        <v>0.30442578158225153</v>
      </c>
    </row>
    <row r="81" spans="1:6" x14ac:dyDescent="0.3">
      <c r="A81" s="10" t="str">
        <f>$A$23</f>
        <v>Education</v>
      </c>
      <c r="B81" s="17">
        <f t="shared" si="6"/>
        <v>-3.4808041680745028E-2</v>
      </c>
      <c r="C81" s="17">
        <f t="shared" si="7"/>
        <v>0.31622962140254174</v>
      </c>
      <c r="D81" s="17">
        <f t="shared" si="8"/>
        <v>9.1026887480816221E-2</v>
      </c>
      <c r="E81" s="17">
        <f t="shared" si="9"/>
        <v>0.34800896989775065</v>
      </c>
      <c r="F81" s="17">
        <f t="shared" si="5"/>
        <v>0.26227504847629035</v>
      </c>
    </row>
    <row r="82" spans="1:6" x14ac:dyDescent="0.3">
      <c r="A82" s="10" t="str">
        <f>$A$24</f>
        <v>Health and social work</v>
      </c>
      <c r="B82" s="17">
        <f t="shared" si="6"/>
        <v>1.3910187124869688</v>
      </c>
      <c r="C82" s="17">
        <f t="shared" si="7"/>
        <v>-0.55688050873242689</v>
      </c>
      <c r="D82" s="17">
        <f t="shared" si="8"/>
        <v>1.2572897754804746</v>
      </c>
      <c r="E82" s="17">
        <f t="shared" si="9"/>
        <v>0.64246339013522835</v>
      </c>
      <c r="F82" s="17">
        <f t="shared" si="5"/>
        <v>0.84698959766382753</v>
      </c>
    </row>
    <row r="83" spans="1:6" x14ac:dyDescent="0.3">
      <c r="A83" s="10" t="str">
        <f>$A$25</f>
        <v>Arts and entertainment</v>
      </c>
      <c r="B83" s="17">
        <f>IF(AND(C$3-B$3 &lt;&gt; 0,B25&lt;&gt;0,C25&lt;&gt;0),(EXP(LN(C25/B25)/(C$3-B$3))-1)*100,0)</f>
        <v>0.79884322930838803</v>
      </c>
      <c r="C83" s="17">
        <f t="shared" si="7"/>
        <v>0.23484082760105718</v>
      </c>
      <c r="D83" s="17">
        <f t="shared" si="8"/>
        <v>0.47811881939865408</v>
      </c>
      <c r="E83" s="17">
        <f t="shared" si="9"/>
        <v>0.78434502558848429</v>
      </c>
      <c r="F83" s="17">
        <f t="shared" si="5"/>
        <v>0.68216606566100513</v>
      </c>
    </row>
    <row r="84" spans="1:6" x14ac:dyDescent="0.3">
      <c r="A84" s="10" t="str">
        <f>$A$26</f>
        <v>Other services</v>
      </c>
      <c r="B84" s="17">
        <f t="shared" si="6"/>
        <v>0.8477914787368368</v>
      </c>
      <c r="C84" s="17">
        <f t="shared" si="7"/>
        <v>-0.90392642740569906</v>
      </c>
      <c r="D84" s="17">
        <f t="shared" si="8"/>
        <v>-0.16076213844666842</v>
      </c>
      <c r="E84" s="17">
        <f t="shared" si="9"/>
        <v>7.785982142418657E-2</v>
      </c>
      <c r="F84" s="17">
        <f t="shared" si="5"/>
        <v>-1.7441336747303637E-3</v>
      </c>
    </row>
    <row r="85" spans="1:6" x14ac:dyDescent="0.3">
      <c r="B85" s="17"/>
      <c r="C85" s="17"/>
      <c r="D85" s="17"/>
      <c r="E85" s="17"/>
      <c r="F85" s="17"/>
    </row>
    <row r="86" spans="1:6" x14ac:dyDescent="0.3">
      <c r="A86" t="str">
        <f>$A$28</f>
        <v>All industries</v>
      </c>
      <c r="B86" s="17">
        <f>IF(AND(C$3-B$3 &lt;&gt; 0,B28&lt;&gt;0,C28&lt;&gt;0),(EXP(LN(C28/B28)/(C$3-B$3))-1)*100,0)</f>
        <v>1.3311698180238807</v>
      </c>
      <c r="C86" s="17">
        <f>IF(AND(D$3-C$3 &lt;&gt; 0,C28&lt;&gt;0,D28&lt;&gt;0),(EXP(LN(D28/C28)/(D$3-C$3))-1)*100,0)</f>
        <v>-1.1686419909962442</v>
      </c>
      <c r="D86" s="17">
        <f>IF(AND(E$3-D$3 &lt;&gt; 0,D28&lt;&gt;0,E28&lt;&gt;0),(EXP(LN(E28/D28)/(E$3-D$3))-1)*100,0)</f>
        <v>0.59245370532132746</v>
      </c>
      <c r="E86" s="17">
        <f>IF(AND(F$3-E$3 &lt;&gt; 0,E28&lt;&gt;0,F28&lt;&gt;0),(EXP(LN(F28/E28)/(F$3-E$3))-1)*100,0)</f>
        <v>0.4196727942317624</v>
      </c>
      <c r="F86" s="17">
        <f t="shared" si="5"/>
        <v>0.477233431154378</v>
      </c>
    </row>
    <row r="89" spans="1:6" x14ac:dyDescent="0.3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3">
      <c r="A90" t="str">
        <f>$A$5</f>
        <v>Agriculture</v>
      </c>
      <c r="B90" s="26">
        <f t="shared" ref="B90:E105" si="10">C5-B5</f>
        <v>7.7370000009907471</v>
      </c>
      <c r="C90" s="26">
        <f>D5-C5</f>
        <v>-30.707000003113421</v>
      </c>
      <c r="D90" s="26">
        <f t="shared" si="10"/>
        <v>7.2040000000221482</v>
      </c>
      <c r="E90" s="26">
        <f t="shared" si="10"/>
        <v>2.2509999993141889</v>
      </c>
      <c r="F90" s="26">
        <f>F5-D5</f>
        <v>9.4549999993363372</v>
      </c>
    </row>
    <row r="91" spans="1:6" x14ac:dyDescent="0.3">
      <c r="A91" t="str">
        <f>$A$6</f>
        <v>Mining and quarrying</v>
      </c>
      <c r="B91" s="26">
        <f t="shared" si="10"/>
        <v>-6.4209999998805074</v>
      </c>
      <c r="C91" s="26">
        <f t="shared" ref="C91:C105" si="11">D6-C6</f>
        <v>0.53200000002059511</v>
      </c>
      <c r="D91" s="26">
        <f t="shared" si="10"/>
        <v>-4.7579999999357732</v>
      </c>
      <c r="E91" s="26">
        <f t="shared" si="10"/>
        <v>-5.0500000000190504</v>
      </c>
      <c r="F91" s="26">
        <f t="shared" ref="F91:F113" si="12">F6-D6</f>
        <v>-9.8079999999548235</v>
      </c>
    </row>
    <row r="92" spans="1:6" x14ac:dyDescent="0.3">
      <c r="A92" t="str">
        <f>$A$7</f>
        <v>Food drink and tobacco</v>
      </c>
      <c r="B92" s="26">
        <f t="shared" si="10"/>
        <v>27.512999999103442</v>
      </c>
      <c r="C92" s="26">
        <f t="shared" si="11"/>
        <v>0.86799999986664034</v>
      </c>
      <c r="D92" s="26">
        <f t="shared" si="10"/>
        <v>4.5030000038660773</v>
      </c>
      <c r="E92" s="26">
        <f t="shared" si="10"/>
        <v>-9.7190000047181684</v>
      </c>
      <c r="F92" s="26">
        <f t="shared" si="12"/>
        <v>-5.216000000852091</v>
      </c>
    </row>
    <row r="93" spans="1:6" x14ac:dyDescent="0.3">
      <c r="A93" t="str">
        <f>$A$8</f>
        <v>Engineering</v>
      </c>
      <c r="B93" s="26">
        <f t="shared" si="10"/>
        <v>7.5470000001769222</v>
      </c>
      <c r="C93" s="26">
        <f t="shared" si="11"/>
        <v>-16.0460000000798</v>
      </c>
      <c r="D93" s="26">
        <f t="shared" si="10"/>
        <v>6.3290000023579864</v>
      </c>
      <c r="E93" s="26">
        <f t="shared" si="10"/>
        <v>-38.809000001277354</v>
      </c>
      <c r="F93" s="26">
        <f t="shared" si="12"/>
        <v>-32.479999998919368</v>
      </c>
    </row>
    <row r="94" spans="1:6" x14ac:dyDescent="0.3">
      <c r="A94" t="str">
        <f>$A$9</f>
        <v>Rest of manufacturing</v>
      </c>
      <c r="B94" s="26">
        <f t="shared" si="10"/>
        <v>21.747999998445493</v>
      </c>
      <c r="C94" s="26">
        <f t="shared" si="11"/>
        <v>-30.86200000030567</v>
      </c>
      <c r="D94" s="26">
        <f t="shared" si="10"/>
        <v>-88.518999990937573</v>
      </c>
      <c r="E94" s="26">
        <f t="shared" si="10"/>
        <v>-123.03400000607326</v>
      </c>
      <c r="F94" s="26">
        <f t="shared" si="12"/>
        <v>-211.55299999701083</v>
      </c>
    </row>
    <row r="95" spans="1:6" x14ac:dyDescent="0.3">
      <c r="A95" t="str">
        <f>$A$10</f>
        <v>Electricity and gas</v>
      </c>
      <c r="B95" s="26">
        <f t="shared" si="10"/>
        <v>20.216999999905951</v>
      </c>
      <c r="C95" s="26">
        <f t="shared" si="11"/>
        <v>-0.27199999999213276</v>
      </c>
      <c r="D95" s="26">
        <f t="shared" si="10"/>
        <v>-4.4819999986259944</v>
      </c>
      <c r="E95" s="26">
        <f t="shared" si="10"/>
        <v>-0.75500000125141753</v>
      </c>
      <c r="F95" s="26">
        <f t="shared" si="12"/>
        <v>-5.2369999998774119</v>
      </c>
    </row>
    <row r="96" spans="1:6" x14ac:dyDescent="0.3">
      <c r="A96" t="str">
        <f>$A$11</f>
        <v>Water and sewerage</v>
      </c>
      <c r="B96" s="26">
        <f t="shared" si="10"/>
        <v>22.227999999975225</v>
      </c>
      <c r="C96" s="26">
        <f t="shared" si="11"/>
        <v>-13.966000000259299</v>
      </c>
      <c r="D96" s="26">
        <f t="shared" si="10"/>
        <v>8.7780000010870651</v>
      </c>
      <c r="E96" s="26">
        <f t="shared" si="10"/>
        <v>14.052999999546159</v>
      </c>
      <c r="F96" s="26">
        <f t="shared" si="12"/>
        <v>22.831000000633225</v>
      </c>
    </row>
    <row r="97" spans="1:6" x14ac:dyDescent="0.3">
      <c r="A97" t="str">
        <f>$A$12</f>
        <v>Construction</v>
      </c>
      <c r="B97" s="26">
        <f t="shared" si="10"/>
        <v>196.40300003713514</v>
      </c>
      <c r="C97" s="26">
        <f t="shared" si="11"/>
        <v>3.0379999542008136</v>
      </c>
      <c r="D97" s="26">
        <f t="shared" si="10"/>
        <v>98.155999959584051</v>
      </c>
      <c r="E97" s="26">
        <f t="shared" si="10"/>
        <v>153.96600001355318</v>
      </c>
      <c r="F97" s="26">
        <f t="shared" si="12"/>
        <v>252.12199997313724</v>
      </c>
    </row>
    <row r="98" spans="1:6" x14ac:dyDescent="0.3">
      <c r="A98" t="str">
        <f>$A$13</f>
        <v>Wholesale and retail trade</v>
      </c>
      <c r="B98" s="26">
        <f t="shared" si="10"/>
        <v>49.194999978935812</v>
      </c>
      <c r="C98" s="26">
        <f t="shared" si="11"/>
        <v>-31.579000020103194</v>
      </c>
      <c r="D98" s="26">
        <f t="shared" si="10"/>
        <v>24.003000061402417</v>
      </c>
      <c r="E98" s="26">
        <f t="shared" si="10"/>
        <v>44.837999890513856</v>
      </c>
      <c r="F98" s="26">
        <f t="shared" si="12"/>
        <v>68.840999951916274</v>
      </c>
    </row>
    <row r="99" spans="1:6" x14ac:dyDescent="0.3">
      <c r="A99" t="str">
        <f>$A$14</f>
        <v>Transport and storage</v>
      </c>
      <c r="B99" s="26">
        <f t="shared" si="10"/>
        <v>195.10999997982435</v>
      </c>
      <c r="C99" s="26">
        <f t="shared" si="11"/>
        <v>-11.97699998895223</v>
      </c>
      <c r="D99" s="26">
        <f t="shared" si="10"/>
        <v>105.21100002082608</v>
      </c>
      <c r="E99" s="26">
        <f t="shared" si="10"/>
        <v>32.976999984827899</v>
      </c>
      <c r="F99" s="26">
        <f t="shared" si="12"/>
        <v>138.18800000565398</v>
      </c>
    </row>
    <row r="100" spans="1:6" x14ac:dyDescent="0.3">
      <c r="A100" t="str">
        <f>$A$15</f>
        <v>Accommodation and food</v>
      </c>
      <c r="B100" s="26">
        <f t="shared" si="10"/>
        <v>238.54899999854501</v>
      </c>
      <c r="C100" s="26">
        <f t="shared" si="11"/>
        <v>-85.849000020278936</v>
      </c>
      <c r="D100" s="26">
        <f t="shared" si="10"/>
        <v>97.382000032089536</v>
      </c>
      <c r="E100" s="26">
        <f t="shared" si="10"/>
        <v>307.87899994672034</v>
      </c>
      <c r="F100" s="26">
        <f t="shared" si="12"/>
        <v>405.26099997880988</v>
      </c>
    </row>
    <row r="101" spans="1:6" x14ac:dyDescent="0.3">
      <c r="A101" t="str">
        <f>$A$16</f>
        <v>Media</v>
      </c>
      <c r="B101" s="26">
        <f t="shared" si="10"/>
        <v>5.7129999991395835</v>
      </c>
      <c r="C101" s="26">
        <f t="shared" si="11"/>
        <v>3.2140000018532646</v>
      </c>
      <c r="D101" s="26">
        <f t="shared" si="10"/>
        <v>4.3640000046470959</v>
      </c>
      <c r="E101" s="26">
        <f t="shared" si="10"/>
        <v>3.880999997958213</v>
      </c>
      <c r="F101" s="26">
        <f t="shared" si="12"/>
        <v>8.245000002605309</v>
      </c>
    </row>
    <row r="102" spans="1:6" x14ac:dyDescent="0.3">
      <c r="A102" t="str">
        <f>$A$17</f>
        <v>Information technology</v>
      </c>
      <c r="B102" s="26">
        <f t="shared" si="10"/>
        <v>59.178999999953476</v>
      </c>
      <c r="C102" s="26">
        <f t="shared" si="11"/>
        <v>6.0340000067959636</v>
      </c>
      <c r="D102" s="26">
        <f t="shared" si="10"/>
        <v>74.649000011654039</v>
      </c>
      <c r="E102" s="26">
        <f t="shared" si="10"/>
        <v>86.163999992009622</v>
      </c>
      <c r="F102" s="26">
        <f t="shared" si="12"/>
        <v>160.81300000366366</v>
      </c>
    </row>
    <row r="103" spans="1:6" x14ac:dyDescent="0.3">
      <c r="A103" t="str">
        <f>$A$18</f>
        <v>Finance and insurance</v>
      </c>
      <c r="B103" s="26">
        <f t="shared" si="10"/>
        <v>24.043999999052176</v>
      </c>
      <c r="C103" s="26">
        <f t="shared" si="11"/>
        <v>6.8520000071425784</v>
      </c>
      <c r="D103" s="26">
        <f t="shared" si="10"/>
        <v>1.6630000172333439</v>
      </c>
      <c r="E103" s="26">
        <f t="shared" si="10"/>
        <v>-25.048000009337329</v>
      </c>
      <c r="F103" s="26">
        <f t="shared" si="12"/>
        <v>-23.384999992103985</v>
      </c>
    </row>
    <row r="104" spans="1:6" x14ac:dyDescent="0.3">
      <c r="A104" t="str">
        <f>$A$19</f>
        <v>Real estate</v>
      </c>
      <c r="B104" s="26">
        <f t="shared" si="10"/>
        <v>12.531000000472375</v>
      </c>
      <c r="C104" s="26">
        <f t="shared" si="11"/>
        <v>53.844999999348147</v>
      </c>
      <c r="D104" s="26">
        <f t="shared" si="10"/>
        <v>-18.035999993467613</v>
      </c>
      <c r="E104" s="26">
        <f t="shared" si="10"/>
        <v>49.814999995145513</v>
      </c>
      <c r="F104" s="26">
        <f t="shared" si="12"/>
        <v>31.7790000016779</v>
      </c>
    </row>
    <row r="105" spans="1:6" x14ac:dyDescent="0.3">
      <c r="A105" t="str">
        <f>$A$20</f>
        <v>Professional services</v>
      </c>
      <c r="B105" s="26">
        <f t="shared" si="10"/>
        <v>273.82199999635168</v>
      </c>
      <c r="C105" s="26">
        <f t="shared" si="11"/>
        <v>-74.587999974286959</v>
      </c>
      <c r="D105" s="26">
        <f t="shared" si="10"/>
        <v>141.59100004413085</v>
      </c>
      <c r="E105" s="26">
        <f t="shared" si="10"/>
        <v>192.06799998394399</v>
      </c>
      <c r="F105" s="26">
        <f t="shared" si="12"/>
        <v>333.65900002807484</v>
      </c>
    </row>
    <row r="106" spans="1:6" x14ac:dyDescent="0.3">
      <c r="A106" s="10" t="str">
        <f>$A$21</f>
        <v>Support services</v>
      </c>
      <c r="B106" s="26">
        <f t="shared" ref="B106:B111" si="13">C21-B21</f>
        <v>139.05899999643407</v>
      </c>
      <c r="C106" s="26">
        <f t="shared" ref="C106:C111" si="14">D21-C21</f>
        <v>-156.10500001385481</v>
      </c>
      <c r="D106" s="26">
        <f t="shared" ref="D106:D111" si="15">E21-D21</f>
        <v>147.16300001529225</v>
      </c>
      <c r="E106" s="26">
        <f t="shared" ref="E106:E111" si="16">F21-E21</f>
        <v>182.05899998396717</v>
      </c>
      <c r="F106" s="26">
        <f t="shared" si="12"/>
        <v>329.22199999925942</v>
      </c>
    </row>
    <row r="107" spans="1:6" x14ac:dyDescent="0.3">
      <c r="A107" s="10" t="str">
        <f>$A$22</f>
        <v>Public admin. and defence</v>
      </c>
      <c r="B107" s="26">
        <f t="shared" si="13"/>
        <v>13.002000002138175</v>
      </c>
      <c r="C107" s="26">
        <f t="shared" si="14"/>
        <v>42.722000002456298</v>
      </c>
      <c r="D107" s="26">
        <f t="shared" si="15"/>
        <v>29.140000005225147</v>
      </c>
      <c r="E107" s="26">
        <f t="shared" si="16"/>
        <v>22.475000001485114</v>
      </c>
      <c r="F107" s="26">
        <f t="shared" si="12"/>
        <v>51.615000006710261</v>
      </c>
    </row>
    <row r="108" spans="1:6" x14ac:dyDescent="0.3">
      <c r="A108" s="10" t="str">
        <f>$A$23</f>
        <v>Education</v>
      </c>
      <c r="B108" s="26">
        <f t="shared" si="13"/>
        <v>-3.5169999957333857</v>
      </c>
      <c r="C108" s="26">
        <f t="shared" si="14"/>
        <v>7.9810000226207194</v>
      </c>
      <c r="D108" s="26">
        <f t="shared" si="15"/>
        <v>11.543999825052651</v>
      </c>
      <c r="E108" s="26">
        <f t="shared" si="16"/>
        <v>89.909000198555532</v>
      </c>
      <c r="F108" s="26">
        <f t="shared" si="12"/>
        <v>101.45300002360818</v>
      </c>
    </row>
    <row r="109" spans="1:6" x14ac:dyDescent="0.3">
      <c r="A109" s="10" t="str">
        <f>$A$24</f>
        <v>Health and social work</v>
      </c>
      <c r="B109" s="26">
        <f t="shared" si="13"/>
        <v>197.21100000873321</v>
      </c>
      <c r="C109" s="26">
        <f t="shared" si="14"/>
        <v>-20.42899996728147</v>
      </c>
      <c r="D109" s="26">
        <f t="shared" si="15"/>
        <v>235.17199997169473</v>
      </c>
      <c r="E109" s="26">
        <f t="shared" si="16"/>
        <v>256.82000003201256</v>
      </c>
      <c r="F109" s="26">
        <f t="shared" si="12"/>
        <v>491.99200000370729</v>
      </c>
    </row>
    <row r="110" spans="1:6" x14ac:dyDescent="0.3">
      <c r="A110" s="10" t="str">
        <f>$A$25</f>
        <v>Arts and entertainment</v>
      </c>
      <c r="B110" s="26">
        <f t="shared" si="13"/>
        <v>27.02499999633153</v>
      </c>
      <c r="C110" s="26">
        <f t="shared" si="14"/>
        <v>2.026000000616591</v>
      </c>
      <c r="D110" s="26">
        <f t="shared" si="15"/>
        <v>20.871000011352407</v>
      </c>
      <c r="E110" s="26">
        <f t="shared" si="16"/>
        <v>71.965999995971515</v>
      </c>
      <c r="F110" s="26">
        <f t="shared" si="12"/>
        <v>92.837000007323923</v>
      </c>
    </row>
    <row r="111" spans="1:6" x14ac:dyDescent="0.3">
      <c r="A111" s="10" t="str">
        <f>$A$26</f>
        <v>Other services</v>
      </c>
      <c r="B111" s="26">
        <f t="shared" si="13"/>
        <v>28.69300000008343</v>
      </c>
      <c r="C111" s="26">
        <f t="shared" si="14"/>
        <v>-7.8110000052572559</v>
      </c>
      <c r="D111" s="26">
        <f t="shared" si="15"/>
        <v>-6.8609999895520559</v>
      </c>
      <c r="E111" s="26">
        <f t="shared" si="16"/>
        <v>6.6369999960284076</v>
      </c>
      <c r="F111" s="26">
        <f t="shared" si="12"/>
        <v>-0.2239999935236483</v>
      </c>
    </row>
    <row r="112" spans="1:6" x14ac:dyDescent="0.3">
      <c r="B112" s="26"/>
      <c r="C112" s="26"/>
      <c r="D112" s="26"/>
      <c r="E112" s="26"/>
      <c r="F112" s="26"/>
    </row>
    <row r="113" spans="1:6" x14ac:dyDescent="0.3">
      <c r="A113" s="23" t="str">
        <f>$A$28</f>
        <v>All industries</v>
      </c>
      <c r="B113" s="28">
        <f>C28-B28</f>
        <v>1556.5879999961107</v>
      </c>
      <c r="C113" s="28">
        <f>D28-C28</f>
        <v>-353.07899999884467</v>
      </c>
      <c r="D113" s="28">
        <f>E28-D28</f>
        <v>895.06700001500212</v>
      </c>
      <c r="E113" s="28">
        <f>F28-E28</f>
        <v>1315.3429999888722</v>
      </c>
      <c r="F113" s="28">
        <f t="shared" si="12"/>
        <v>2210.4100000038743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5234375" defaultRowHeight="12.45" x14ac:dyDescent="0.3"/>
  <cols>
    <col min="1" max="1" width="26.69140625" customWidth="1"/>
    <col min="2" max="6" width="11.69140625" customWidth="1"/>
  </cols>
  <sheetData>
    <row r="1" spans="1:7" ht="15.45" x14ac:dyDescent="0.4">
      <c r="A1" s="18" t="str">
        <f>CONCATENATE("Industry Table 3  Employment by Industry (SIC 2007), ",B$3,"-",F$3,", ",Info!B5)</f>
        <v>Industry Table 3  Employment by Industry (SIC 2007), 2015-2035, England</v>
      </c>
    </row>
    <row r="2" spans="1:7" x14ac:dyDescent="0.3">
      <c r="A2" s="1" t="s">
        <v>531</v>
      </c>
    </row>
    <row r="3" spans="1:7" x14ac:dyDescent="0.3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3">
      <c r="A4" s="1" t="s">
        <v>13</v>
      </c>
    </row>
    <row r="5" spans="1:7" x14ac:dyDescent="0.3">
      <c r="A5" t="str">
        <f>name!A4</f>
        <v>Agriculture, etc</v>
      </c>
      <c r="B5" s="11">
        <v>262.66400000087742</v>
      </c>
      <c r="C5" s="11">
        <v>270.40100000186817</v>
      </c>
      <c r="D5" s="11">
        <v>239.69399999875475</v>
      </c>
      <c r="E5" s="11">
        <v>246.8979999987769</v>
      </c>
      <c r="F5" s="11">
        <v>249.14899999809109</v>
      </c>
      <c r="G5" s="10"/>
    </row>
    <row r="6" spans="1:7" x14ac:dyDescent="0.3">
      <c r="A6" t="str">
        <f>name!A5</f>
        <v>Coal, oil &amp; gas; Mining &amp; related</v>
      </c>
      <c r="B6" s="11">
        <v>30.394999999857781</v>
      </c>
      <c r="C6" s="11">
        <v>23.973999999977273</v>
      </c>
      <c r="D6" s="11">
        <v>24.505999999997869</v>
      </c>
      <c r="E6" s="11">
        <v>19.748000000062095</v>
      </c>
      <c r="F6" s="11">
        <v>14.698000000043045</v>
      </c>
    </row>
    <row r="7" spans="1:7" x14ac:dyDescent="0.3">
      <c r="A7" t="str">
        <f>name!A6</f>
        <v>Food products</v>
      </c>
      <c r="B7" s="11">
        <v>312.08400000128648</v>
      </c>
      <c r="C7" s="11">
        <v>332.82800000038958</v>
      </c>
      <c r="D7" s="11">
        <v>332.29400000037344</v>
      </c>
      <c r="E7" s="11">
        <v>336.58200000397272</v>
      </c>
      <c r="F7" s="11">
        <v>328.04799999954008</v>
      </c>
      <c r="G7" s="11"/>
    </row>
    <row r="8" spans="1:7" x14ac:dyDescent="0.3">
      <c r="A8" t="str">
        <f>name!A7</f>
        <v>Beverages and tobacco</v>
      </c>
      <c r="B8" s="11">
        <v>26.844000000015416</v>
      </c>
      <c r="C8" s="11">
        <v>33.613000000015738</v>
      </c>
      <c r="D8" s="11">
        <v>35.014999999898542</v>
      </c>
      <c r="E8" s="11">
        <v>35.230000000165312</v>
      </c>
      <c r="F8" s="11">
        <v>34.044999999879785</v>
      </c>
      <c r="G8" s="11"/>
    </row>
    <row r="9" spans="1:7" x14ac:dyDescent="0.3">
      <c r="A9" t="str">
        <f>name!A8</f>
        <v>Textiles</v>
      </c>
      <c r="B9" s="11">
        <v>49.458000000183269</v>
      </c>
      <c r="C9" s="11">
        <v>53.887000000053547</v>
      </c>
      <c r="D9" s="11">
        <v>56.821000000001895</v>
      </c>
      <c r="E9" s="11">
        <v>50.240000000484542</v>
      </c>
      <c r="F9" s="11">
        <v>42.984000000067603</v>
      </c>
      <c r="G9" s="11"/>
    </row>
    <row r="10" spans="1:7" x14ac:dyDescent="0.3">
      <c r="A10" t="str">
        <f>name!A9</f>
        <v>Wearing apparel; Leather, etc</v>
      </c>
      <c r="B10" s="11">
        <v>48.421000000370448</v>
      </c>
      <c r="C10" s="11">
        <v>44.361000000189001</v>
      </c>
      <c r="D10" s="11">
        <v>49.279000000009653</v>
      </c>
      <c r="E10" s="11">
        <v>43.617000000208968</v>
      </c>
      <c r="F10" s="11">
        <v>37.630000000085346</v>
      </c>
      <c r="G10" s="11"/>
    </row>
    <row r="11" spans="1:7" x14ac:dyDescent="0.3">
      <c r="A11" t="str">
        <f>name!A10</f>
        <v xml:space="preserve">Wood and cork </v>
      </c>
      <c r="B11" s="11">
        <v>66.357999999882466</v>
      </c>
      <c r="C11" s="11">
        <v>74.082000000200267</v>
      </c>
      <c r="D11" s="11">
        <v>76.711999999891944</v>
      </c>
      <c r="E11" s="11">
        <v>76.347999999819265</v>
      </c>
      <c r="F11" s="11">
        <v>73.501999999887445</v>
      </c>
      <c r="G11" s="11"/>
    </row>
    <row r="12" spans="1:7" x14ac:dyDescent="0.3">
      <c r="A12" t="str">
        <f>name!A11</f>
        <v>Paper, etc</v>
      </c>
      <c r="B12" s="11">
        <v>54.884000000123478</v>
      </c>
      <c r="C12" s="11">
        <v>46.589999999980336</v>
      </c>
      <c r="D12" s="11">
        <v>41.400000000073113</v>
      </c>
      <c r="E12" s="11">
        <v>41.296000000287727</v>
      </c>
      <c r="F12" s="11">
        <v>39.809000000122701</v>
      </c>
      <c r="G12" s="11"/>
    </row>
    <row r="13" spans="1:7" x14ac:dyDescent="0.3">
      <c r="A13" t="str">
        <f>name!A12</f>
        <v>Printing and recording</v>
      </c>
      <c r="B13" s="11">
        <v>108.78399999993725</v>
      </c>
      <c r="C13" s="11">
        <v>85.105999999740618</v>
      </c>
      <c r="D13" s="11">
        <v>80.943999999925666</v>
      </c>
      <c r="E13" s="11">
        <v>74.949000000601714</v>
      </c>
      <c r="F13" s="11">
        <v>63.367000000175253</v>
      </c>
      <c r="G13" s="11"/>
    </row>
    <row r="14" spans="1:7" x14ac:dyDescent="0.3">
      <c r="A14" t="str">
        <f>name!A13</f>
        <v>Coke and petroleum; Chemicals, etc</v>
      </c>
      <c r="B14" s="11">
        <v>88.073999999760957</v>
      </c>
      <c r="C14" s="11">
        <v>97.323999999678023</v>
      </c>
      <c r="D14" s="11">
        <v>95.042999999648146</v>
      </c>
      <c r="E14" s="11">
        <v>89.53100000064012</v>
      </c>
      <c r="F14" s="11">
        <v>81.697000000031835</v>
      </c>
      <c r="G14" s="11"/>
    </row>
    <row r="15" spans="1:7" x14ac:dyDescent="0.3">
      <c r="A15" t="str">
        <f>name!A14</f>
        <v>Pharmaceuticals</v>
      </c>
      <c r="B15" s="11">
        <v>34.220999999893387</v>
      </c>
      <c r="C15" s="11">
        <v>38.576999999803334</v>
      </c>
      <c r="D15" s="11">
        <v>40.486999999836371</v>
      </c>
      <c r="E15" s="11">
        <v>43.759000000176776</v>
      </c>
      <c r="F15" s="11">
        <v>42.416000000085241</v>
      </c>
      <c r="G15" s="11"/>
    </row>
    <row r="16" spans="1:7" x14ac:dyDescent="0.3">
      <c r="A16" t="str">
        <f>name!A15</f>
        <v>Rubber and plastic</v>
      </c>
      <c r="B16" s="11">
        <v>156.55400000000614</v>
      </c>
      <c r="C16" s="11">
        <v>147.45399999966889</v>
      </c>
      <c r="D16" s="11">
        <v>156.97699999981793</v>
      </c>
      <c r="E16" s="11">
        <v>154.49100000091323</v>
      </c>
      <c r="F16" s="11">
        <v>137.66700000001663</v>
      </c>
      <c r="G16" s="11"/>
    </row>
    <row r="17" spans="1:7" x14ac:dyDescent="0.3">
      <c r="A17" t="str">
        <f>name!A16</f>
        <v>Other non-metallic</v>
      </c>
      <c r="B17" s="11">
        <v>73.813999999869893</v>
      </c>
      <c r="C17" s="11">
        <v>81.482999999927287</v>
      </c>
      <c r="D17" s="11">
        <v>82.475999999961445</v>
      </c>
      <c r="E17" s="11">
        <v>81.073000000411227</v>
      </c>
      <c r="F17" s="11">
        <v>72.096999999928116</v>
      </c>
      <c r="G17" s="11"/>
    </row>
    <row r="18" spans="1:7" x14ac:dyDescent="0.3">
      <c r="A18" t="str">
        <f>name!A17</f>
        <v>Basic metals</v>
      </c>
      <c r="B18" s="11">
        <v>53.344999999923346</v>
      </c>
      <c r="C18" s="11">
        <v>57.307999999859589</v>
      </c>
      <c r="D18" s="11">
        <v>48.218999999908121</v>
      </c>
      <c r="E18" s="11">
        <v>46.926000000082915</v>
      </c>
      <c r="F18" s="11">
        <v>41.264999999945047</v>
      </c>
      <c r="G18" s="11"/>
    </row>
    <row r="19" spans="1:7" x14ac:dyDescent="0.3">
      <c r="A19" t="str">
        <f>name!A18</f>
        <v>Metal products</v>
      </c>
      <c r="B19" s="11">
        <v>279.70699999960516</v>
      </c>
      <c r="C19" s="11">
        <v>270.7999999994725</v>
      </c>
      <c r="D19" s="11">
        <v>237.35899999948563</v>
      </c>
      <c r="E19" s="11">
        <v>230.43300000081456</v>
      </c>
      <c r="F19" s="11">
        <v>202.21799999991987</v>
      </c>
      <c r="G19" s="11"/>
    </row>
    <row r="20" spans="1:7" x14ac:dyDescent="0.3">
      <c r="A20" t="str">
        <f>name!A19</f>
        <v>Computer, etc</v>
      </c>
      <c r="B20" s="11">
        <v>98.3369999997023</v>
      </c>
      <c r="C20" s="11">
        <v>100.33799999965268</v>
      </c>
      <c r="D20" s="11">
        <v>104.26599999968958</v>
      </c>
      <c r="E20" s="11">
        <v>108.23900000061197</v>
      </c>
      <c r="F20" s="11">
        <v>92.17800000011583</v>
      </c>
      <c r="G20" s="11"/>
    </row>
    <row r="21" spans="1:7" x14ac:dyDescent="0.3">
      <c r="A21" t="str">
        <f>name!A20</f>
        <v>Electrical equipment</v>
      </c>
      <c r="B21" s="11">
        <v>75.604999999765056</v>
      </c>
      <c r="C21" s="11">
        <v>68.78999999987596</v>
      </c>
      <c r="D21" s="11">
        <v>61.081999999842388</v>
      </c>
      <c r="E21" s="11">
        <v>59.658000000303197</v>
      </c>
      <c r="F21" s="11">
        <v>56.905000000014233</v>
      </c>
      <c r="G21" s="11"/>
    </row>
    <row r="22" spans="1:7" x14ac:dyDescent="0.3">
      <c r="A22" t="str">
        <f>name!A21</f>
        <v>Machinery n.e.c.</v>
      </c>
      <c r="B22" s="11">
        <v>157.21299999951651</v>
      </c>
      <c r="C22" s="11">
        <v>169.57399999963212</v>
      </c>
      <c r="D22" s="11">
        <v>157.307999999549</v>
      </c>
      <c r="E22" s="11">
        <v>161.08800000052378</v>
      </c>
      <c r="F22" s="11">
        <v>141.09300000003151</v>
      </c>
      <c r="G22" s="11"/>
    </row>
    <row r="23" spans="1:7" x14ac:dyDescent="0.3">
      <c r="A23" t="str">
        <f>name!A22</f>
        <v>Motor vehicles, etc</v>
      </c>
      <c r="B23" s="11">
        <v>135.58299999984351</v>
      </c>
      <c r="C23" s="11">
        <v>148.64499999934</v>
      </c>
      <c r="D23" s="11">
        <v>130.31599999946297</v>
      </c>
      <c r="E23" s="11">
        <v>129.59200000027349</v>
      </c>
      <c r="F23" s="11">
        <v>120.06599999977824</v>
      </c>
      <c r="G23" s="11"/>
    </row>
    <row r="24" spans="1:7" x14ac:dyDescent="0.3">
      <c r="A24" t="str">
        <f>name!A23</f>
        <v>Other transport equipment</v>
      </c>
      <c r="B24" s="11">
        <v>114.12299999951675</v>
      </c>
      <c r="C24" s="11">
        <v>119.79799999970216</v>
      </c>
      <c r="D24" s="11">
        <v>120.05199999957564</v>
      </c>
      <c r="E24" s="11">
        <v>103.04700000014226</v>
      </c>
      <c r="F24" s="11">
        <v>102.5809999999218</v>
      </c>
      <c r="G24" s="11"/>
    </row>
    <row r="25" spans="1:7" x14ac:dyDescent="0.3">
      <c r="A25" t="str">
        <f>name!A24</f>
        <v>Furniture</v>
      </c>
      <c r="B25" s="11">
        <v>82.425999999966621</v>
      </c>
      <c r="C25" s="11">
        <v>84.32299999995827</v>
      </c>
      <c r="D25" s="11">
        <v>87.090999999974713</v>
      </c>
      <c r="E25" s="11">
        <v>76.412000000427412</v>
      </c>
      <c r="F25" s="11">
        <v>71.928000000086641</v>
      </c>
      <c r="G25" s="11"/>
    </row>
    <row r="26" spans="1:7" x14ac:dyDescent="0.3">
      <c r="A26" t="str">
        <f>name!A25</f>
        <v>Other manufacturing</v>
      </c>
      <c r="B26" s="11">
        <v>85.631000000021018</v>
      </c>
      <c r="C26" s="11">
        <v>85.433999999841049</v>
      </c>
      <c r="D26" s="11">
        <v>88.895999999783555</v>
      </c>
      <c r="E26" s="11">
        <v>77.565000000632693</v>
      </c>
      <c r="F26" s="11">
        <v>72.855000000031708</v>
      </c>
      <c r="G26" s="11"/>
    </row>
    <row r="27" spans="1:7" x14ac:dyDescent="0.3">
      <c r="A27" t="str">
        <f>name!A26</f>
        <v>Repair and installation</v>
      </c>
      <c r="B27" s="11">
        <v>96.175999999909692</v>
      </c>
      <c r="C27" s="11">
        <v>114.13499999984403</v>
      </c>
      <c r="D27" s="11">
        <v>126.37299999959636</v>
      </c>
      <c r="E27" s="11">
        <v>110.64700000009864</v>
      </c>
      <c r="F27" s="11">
        <v>104.80999999985885</v>
      </c>
      <c r="G27" s="11"/>
    </row>
    <row r="28" spans="1:7" x14ac:dyDescent="0.3">
      <c r="A28" t="str">
        <f>name!A27</f>
        <v>Electricity, gas, etc</v>
      </c>
      <c r="B28" s="11">
        <v>98.78599999956451</v>
      </c>
      <c r="C28" s="11">
        <v>119.00299999947046</v>
      </c>
      <c r="D28" s="11">
        <v>118.73099999947833</v>
      </c>
      <c r="E28" s="11">
        <v>114.24900000085233</v>
      </c>
      <c r="F28" s="11">
        <v>113.49399999960092</v>
      </c>
      <c r="G28" s="11"/>
    </row>
    <row r="29" spans="1:7" x14ac:dyDescent="0.3">
      <c r="A29" t="str">
        <f>name!A28</f>
        <v>Water</v>
      </c>
      <c r="B29" s="11">
        <v>31.96499999985004</v>
      </c>
      <c r="C29" s="11">
        <v>38.641999999835079</v>
      </c>
      <c r="D29" s="11">
        <v>36.481999999837981</v>
      </c>
      <c r="E29" s="11">
        <v>38.369000000222506</v>
      </c>
      <c r="F29" s="11">
        <v>41.416999999977506</v>
      </c>
      <c r="G29" s="11"/>
    </row>
    <row r="30" spans="1:7" x14ac:dyDescent="0.3">
      <c r="A30" t="str">
        <f>name!A29</f>
        <v>Sewerage</v>
      </c>
      <c r="B30" s="11">
        <v>21.915000000085648</v>
      </c>
      <c r="C30" s="11">
        <v>21.356000000039192</v>
      </c>
      <c r="D30" s="11">
        <v>19.471000000039979</v>
      </c>
      <c r="E30" s="11">
        <v>20.517000000189043</v>
      </c>
      <c r="F30" s="11">
        <v>22.226000000163623</v>
      </c>
      <c r="G30" s="11"/>
    </row>
    <row r="31" spans="1:7" x14ac:dyDescent="0.3">
      <c r="A31" t="str">
        <f>name!A30</f>
        <v>Waste management</v>
      </c>
      <c r="B31" s="11">
        <v>109.47100000017645</v>
      </c>
      <c r="C31" s="11">
        <v>125.58100000021309</v>
      </c>
      <c r="D31" s="11">
        <v>115.65999999995012</v>
      </c>
      <c r="E31" s="11">
        <v>121.5050000005036</v>
      </c>
      <c r="F31" s="11">
        <v>130.80100000032016</v>
      </c>
      <c r="G31" s="11"/>
    </row>
    <row r="32" spans="1:7" x14ac:dyDescent="0.3">
      <c r="A32" t="str">
        <f>name!A31</f>
        <v>Construction</v>
      </c>
      <c r="B32" s="11">
        <v>558.64099999525831</v>
      </c>
      <c r="C32" s="11">
        <v>657.70900000629979</v>
      </c>
      <c r="D32" s="11">
        <v>663.91799999096656</v>
      </c>
      <c r="E32" s="11">
        <v>700.54499997984828</v>
      </c>
      <c r="F32" s="11">
        <v>757.61799998308288</v>
      </c>
      <c r="G32" s="11"/>
    </row>
    <row r="33" spans="1:7" x14ac:dyDescent="0.3">
      <c r="A33" t="str">
        <f>name!A32</f>
        <v>Civil engineering</v>
      </c>
      <c r="B33" s="11">
        <v>246.99099999751871</v>
      </c>
      <c r="C33" s="11">
        <v>262.68900000282974</v>
      </c>
      <c r="D33" s="11">
        <v>261.28999999675062</v>
      </c>
      <c r="E33" s="11">
        <v>272.9499999908727</v>
      </c>
      <c r="F33" s="11">
        <v>291.46699999292167</v>
      </c>
      <c r="G33" s="11"/>
    </row>
    <row r="34" spans="1:7" x14ac:dyDescent="0.3">
      <c r="A34" t="str">
        <f>name!A33</f>
        <v>Specialised construction</v>
      </c>
      <c r="B34" s="11">
        <v>994.72199998956967</v>
      </c>
      <c r="C34" s="11">
        <v>1076.3590000103525</v>
      </c>
      <c r="D34" s="11">
        <v>1074.5869999859656</v>
      </c>
      <c r="E34" s="11">
        <v>1124.4559999625455</v>
      </c>
      <c r="F34" s="11">
        <v>1202.8319999708153</v>
      </c>
      <c r="G34" s="11"/>
    </row>
    <row r="35" spans="1:7" x14ac:dyDescent="0.3">
      <c r="A35" t="str">
        <f>name!A34</f>
        <v>Motor vehicle trade</v>
      </c>
      <c r="B35" s="11">
        <v>492.94200000315453</v>
      </c>
      <c r="C35" s="11">
        <v>564.76600000369922</v>
      </c>
      <c r="D35" s="11">
        <v>516.88400000069862</v>
      </c>
      <c r="E35" s="11">
        <v>532.4310000028355</v>
      </c>
      <c r="F35" s="11">
        <v>553.44000000060851</v>
      </c>
      <c r="G35" s="11"/>
    </row>
    <row r="36" spans="1:7" x14ac:dyDescent="0.3">
      <c r="A36" t="str">
        <f>name!A35</f>
        <v>Wholesale trade</v>
      </c>
      <c r="B36" s="11">
        <v>1079.390000007766</v>
      </c>
      <c r="C36" s="11">
        <v>1116.5560000032058</v>
      </c>
      <c r="D36" s="11">
        <v>1106.2540000001143</v>
      </c>
      <c r="E36" s="11">
        <v>1119.6640000138686</v>
      </c>
      <c r="F36" s="11">
        <v>1126.4979999981508</v>
      </c>
      <c r="G36" s="11"/>
    </row>
    <row r="37" spans="1:7" x14ac:dyDescent="0.3">
      <c r="A37" t="str">
        <f>name!A36</f>
        <v>Retail trade</v>
      </c>
      <c r="B37" s="11">
        <v>2669.679000065983</v>
      </c>
      <c r="C37" s="11">
        <v>2609.8840000489345</v>
      </c>
      <c r="D37" s="11">
        <v>2636.4890000349233</v>
      </c>
      <c r="E37" s="11">
        <v>2631.5350000804342</v>
      </c>
      <c r="F37" s="11">
        <v>2648.529999988893</v>
      </c>
      <c r="G37" s="11"/>
    </row>
    <row r="38" spans="1:7" x14ac:dyDescent="0.3">
      <c r="A38" t="str">
        <f>name!A37</f>
        <v>Land transport, etc</v>
      </c>
      <c r="B38" s="11">
        <v>644.04300000624698</v>
      </c>
      <c r="C38" s="11">
        <v>750.11599998816939</v>
      </c>
      <c r="D38" s="11">
        <v>709.30400000259522</v>
      </c>
      <c r="E38" s="11">
        <v>772.04100001546897</v>
      </c>
      <c r="F38" s="11">
        <v>779.28100000986194</v>
      </c>
      <c r="G38" s="11"/>
    </row>
    <row r="39" spans="1:7" x14ac:dyDescent="0.3">
      <c r="A39" t="str">
        <f>name!A38</f>
        <v>Water transport</v>
      </c>
      <c r="B39" s="11">
        <v>14.219000000060889</v>
      </c>
      <c r="C39" s="11">
        <v>16.06800000008916</v>
      </c>
      <c r="D39" s="11">
        <v>16.010000000037465</v>
      </c>
      <c r="E39" s="11">
        <v>13.420000000194946</v>
      </c>
      <c r="F39" s="11">
        <v>12.616000000050917</v>
      </c>
      <c r="G39" s="11"/>
    </row>
    <row r="40" spans="1:7" x14ac:dyDescent="0.3">
      <c r="A40" t="str">
        <f>name!A39</f>
        <v>Air transport</v>
      </c>
      <c r="B40" s="11">
        <v>70.84000000054003</v>
      </c>
      <c r="C40" s="11">
        <v>75.469000000376283</v>
      </c>
      <c r="D40" s="11">
        <v>70.473999999793662</v>
      </c>
      <c r="E40" s="11">
        <v>73.195000000498396</v>
      </c>
      <c r="F40" s="11">
        <v>74.192999999760232</v>
      </c>
      <c r="G40" s="11"/>
    </row>
    <row r="41" spans="1:7" x14ac:dyDescent="0.3">
      <c r="A41" t="str">
        <f>name!A40</f>
        <v>Warehousing, etc</v>
      </c>
      <c r="B41" s="11">
        <v>422.60900000283539</v>
      </c>
      <c r="C41" s="11">
        <v>485.73300000151761</v>
      </c>
      <c r="D41" s="11">
        <v>504.0020000001943</v>
      </c>
      <c r="E41" s="11">
        <v>530.43900000362555</v>
      </c>
      <c r="F41" s="11">
        <v>544.5510000002613</v>
      </c>
      <c r="G41" s="11"/>
    </row>
    <row r="42" spans="1:7" x14ac:dyDescent="0.3">
      <c r="A42" t="str">
        <f>name!A41</f>
        <v>Postal and courier</v>
      </c>
      <c r="B42" s="11">
        <v>247.93500000244345</v>
      </c>
      <c r="C42" s="11">
        <v>267.3700000017987</v>
      </c>
      <c r="D42" s="11">
        <v>282.9890000003781</v>
      </c>
      <c r="E42" s="11">
        <v>298.89500000403712</v>
      </c>
      <c r="F42" s="11">
        <v>310.32599999871832</v>
      </c>
      <c r="G42" s="11"/>
    </row>
    <row r="43" spans="1:7" x14ac:dyDescent="0.3">
      <c r="A43" t="str">
        <f>name!A42</f>
        <v>Accommodation</v>
      </c>
      <c r="B43" s="11">
        <v>388.05700000519715</v>
      </c>
      <c r="C43" s="11">
        <v>436.69100000547149</v>
      </c>
      <c r="D43" s="11">
        <v>400.30100000175941</v>
      </c>
      <c r="E43" s="11">
        <v>446.72700000940523</v>
      </c>
      <c r="F43" s="11">
        <v>487.12099999755532</v>
      </c>
      <c r="G43" s="11"/>
    </row>
    <row r="44" spans="1:7" x14ac:dyDescent="0.3">
      <c r="A44" t="str">
        <f>name!A43</f>
        <v>Food and beverage services</v>
      </c>
      <c r="B44" s="11">
        <v>1495.3420000262938</v>
      </c>
      <c r="C44" s="11">
        <v>1685.2570000245644</v>
      </c>
      <c r="D44" s="11">
        <v>1635.7980000079976</v>
      </c>
      <c r="E44" s="11">
        <v>1686.7540000324411</v>
      </c>
      <c r="F44" s="11">
        <v>1954.2389999910117</v>
      </c>
      <c r="G44" s="11"/>
    </row>
    <row r="45" spans="1:7" x14ac:dyDescent="0.3">
      <c r="A45" t="str">
        <f>name!A44</f>
        <v>Publishing activities</v>
      </c>
      <c r="B45" s="11">
        <v>163.05599999939997</v>
      </c>
      <c r="C45" s="11">
        <v>146.0399999991285</v>
      </c>
      <c r="D45" s="11">
        <v>148.25099999984704</v>
      </c>
      <c r="E45" s="11">
        <v>148.95600000187207</v>
      </c>
      <c r="F45" s="11">
        <v>149.36400000100974</v>
      </c>
      <c r="G45" s="11"/>
    </row>
    <row r="46" spans="1:7" x14ac:dyDescent="0.3">
      <c r="A46" t="str">
        <f>name!A45</f>
        <v>Film and music</v>
      </c>
      <c r="B46" s="11">
        <v>137.48700000037726</v>
      </c>
      <c r="C46" s="11">
        <v>154.96699999985657</v>
      </c>
      <c r="D46" s="11">
        <v>154.98300000068369</v>
      </c>
      <c r="E46" s="11">
        <v>157.85100000261207</v>
      </c>
      <c r="F46" s="11">
        <v>161.03200000165717</v>
      </c>
      <c r="G46" s="11"/>
    </row>
    <row r="47" spans="1:7" x14ac:dyDescent="0.3">
      <c r="A47" t="str">
        <f>name!A46</f>
        <v>Broadcasting</v>
      </c>
      <c r="B47" s="11">
        <v>38.899999999952449</v>
      </c>
      <c r="C47" s="11">
        <v>44.148999999884232</v>
      </c>
      <c r="D47" s="11">
        <v>45.136000000191835</v>
      </c>
      <c r="E47" s="11">
        <v>45.927000000885471</v>
      </c>
      <c r="F47" s="11">
        <v>46.219000000660934</v>
      </c>
      <c r="G47" s="11"/>
    </row>
    <row r="48" spans="1:7" x14ac:dyDescent="0.3">
      <c r="A48" t="str">
        <f>name!A47</f>
        <v>Telecommunications</v>
      </c>
      <c r="B48" s="11">
        <v>196.26399999814848</v>
      </c>
      <c r="C48" s="11">
        <v>184.62599999846503</v>
      </c>
      <c r="D48" s="11">
        <v>178.70999999877671</v>
      </c>
      <c r="E48" s="11">
        <v>191.23500000100267</v>
      </c>
      <c r="F48" s="11">
        <v>205.37199999956093</v>
      </c>
      <c r="G48" s="11"/>
    </row>
    <row r="49" spans="1:7" x14ac:dyDescent="0.3">
      <c r="A49" t="str">
        <f>name!A48</f>
        <v>Computing services</v>
      </c>
      <c r="B49" s="11">
        <v>646.45199999114107</v>
      </c>
      <c r="C49" s="11">
        <v>724.92799999075464</v>
      </c>
      <c r="D49" s="11">
        <v>733.45199999670751</v>
      </c>
      <c r="E49" s="11">
        <v>788.21400000511926</v>
      </c>
      <c r="F49" s="11">
        <v>851.37299999933191</v>
      </c>
      <c r="G49" s="11"/>
    </row>
    <row r="50" spans="1:7" x14ac:dyDescent="0.3">
      <c r="A50" t="str">
        <f>name!A49</f>
        <v>Information services</v>
      </c>
      <c r="B50" s="11">
        <v>93.170999999293983</v>
      </c>
      <c r="C50" s="11">
        <v>85.511999999317382</v>
      </c>
      <c r="D50" s="11">
        <v>88.937999999848799</v>
      </c>
      <c r="E50" s="11">
        <v>96.300000000865069</v>
      </c>
      <c r="F50" s="11">
        <v>105.16800000010385</v>
      </c>
      <c r="G50" s="11"/>
    </row>
    <row r="51" spans="1:7" x14ac:dyDescent="0.3">
      <c r="A51" t="str">
        <f>name!A50</f>
        <v>Financial services</v>
      </c>
      <c r="B51" s="11">
        <v>453.54999999592741</v>
      </c>
      <c r="C51" s="11">
        <v>442.76499999583905</v>
      </c>
      <c r="D51" s="11">
        <v>437.16499999870757</v>
      </c>
      <c r="E51" s="11">
        <v>437.13700000584737</v>
      </c>
      <c r="F51" s="11">
        <v>427.64500000202605</v>
      </c>
      <c r="G51" s="11"/>
    </row>
    <row r="52" spans="1:7" x14ac:dyDescent="0.3">
      <c r="A52" t="str">
        <f>name!A51</f>
        <v>Insurance and pensions</v>
      </c>
      <c r="B52" s="11">
        <v>105.85999999915578</v>
      </c>
      <c r="C52" s="11">
        <v>119.25899999888846</v>
      </c>
      <c r="D52" s="11">
        <v>118.36399999937389</v>
      </c>
      <c r="E52" s="11">
        <v>117.19100000150513</v>
      </c>
      <c r="F52" s="11">
        <v>112.34300000020784</v>
      </c>
      <c r="G52" s="11"/>
    </row>
    <row r="53" spans="1:7" x14ac:dyDescent="0.3">
      <c r="A53" t="str">
        <f>name!A52</f>
        <v>Auxiliary financial services</v>
      </c>
      <c r="B53" s="11">
        <v>414.85999999581401</v>
      </c>
      <c r="C53" s="11">
        <v>436.28999999522171</v>
      </c>
      <c r="D53" s="11">
        <v>449.63699999901047</v>
      </c>
      <c r="E53" s="11">
        <v>452.50100000697262</v>
      </c>
      <c r="F53" s="11">
        <v>441.79300000275401</v>
      </c>
      <c r="G53" s="11"/>
    </row>
    <row r="54" spans="1:7" x14ac:dyDescent="0.3">
      <c r="A54" t="str">
        <f>name!A53</f>
        <v>Real estate</v>
      </c>
      <c r="B54" s="11">
        <v>499.70899999841942</v>
      </c>
      <c r="C54" s="11">
        <v>512.23999999889179</v>
      </c>
      <c r="D54" s="11">
        <v>566.08499999823994</v>
      </c>
      <c r="E54" s="11">
        <v>548.04900000477232</v>
      </c>
      <c r="F54" s="11">
        <v>597.86399999991784</v>
      </c>
      <c r="G54" s="11"/>
    </row>
    <row r="55" spans="1:7" x14ac:dyDescent="0.3">
      <c r="A55" t="str">
        <f>name!A54</f>
        <v>Legal and accounting</v>
      </c>
      <c r="B55" s="11">
        <v>670.28699999085279</v>
      </c>
      <c r="C55" s="11">
        <v>766.71499998954027</v>
      </c>
      <c r="D55" s="11">
        <v>730.33899999637379</v>
      </c>
      <c r="E55" s="11">
        <v>768.43000001087137</v>
      </c>
      <c r="F55" s="11">
        <v>810.22500000583443</v>
      </c>
      <c r="G55" s="11"/>
    </row>
    <row r="56" spans="1:7" x14ac:dyDescent="0.3">
      <c r="A56" t="str">
        <f>name!A55</f>
        <v>Head offices, etc</v>
      </c>
      <c r="B56" s="11">
        <v>770.06399998845654</v>
      </c>
      <c r="C56" s="11">
        <v>799.29099998908384</v>
      </c>
      <c r="D56" s="11">
        <v>805.09299999550637</v>
      </c>
      <c r="E56" s="11">
        <v>833.655000008603</v>
      </c>
      <c r="F56" s="11">
        <v>864.09700000349392</v>
      </c>
      <c r="G56" s="11"/>
    </row>
    <row r="57" spans="1:7" x14ac:dyDescent="0.3">
      <c r="A57" t="str">
        <f>name!A56</f>
        <v>Architectural and related</v>
      </c>
      <c r="B57" s="11">
        <v>490.67599999324506</v>
      </c>
      <c r="C57" s="11">
        <v>558.96099999302476</v>
      </c>
      <c r="D57" s="11">
        <v>568.07999999607239</v>
      </c>
      <c r="E57" s="11">
        <v>559.27700000544871</v>
      </c>
      <c r="F57" s="11">
        <v>580.55500000152585</v>
      </c>
      <c r="G57" s="11"/>
    </row>
    <row r="58" spans="1:7" x14ac:dyDescent="0.3">
      <c r="A58" t="str">
        <f>name!A57</f>
        <v>Scientific research and development</v>
      </c>
      <c r="B58" s="11">
        <v>144.65599999916802</v>
      </c>
      <c r="C58" s="11">
        <v>165.76599999847278</v>
      </c>
      <c r="D58" s="11">
        <v>149.94500000017968</v>
      </c>
      <c r="E58" s="11">
        <v>166.80799999965265</v>
      </c>
      <c r="F58" s="11">
        <v>188.54400000051578</v>
      </c>
      <c r="G58" s="11"/>
    </row>
    <row r="59" spans="1:7" x14ac:dyDescent="0.3">
      <c r="A59" t="str">
        <f>name!A58</f>
        <v>Advertising, etc</v>
      </c>
      <c r="B59" s="11">
        <v>256.08199999672962</v>
      </c>
      <c r="C59" s="11">
        <v>236.64799999631632</v>
      </c>
      <c r="D59" s="11">
        <v>221.03499999976017</v>
      </c>
      <c r="E59" s="11">
        <v>248.19800000475178</v>
      </c>
      <c r="F59" s="11">
        <v>276.39800000255212</v>
      </c>
      <c r="G59" s="11"/>
    </row>
    <row r="60" spans="1:7" x14ac:dyDescent="0.3">
      <c r="A60" t="str">
        <f>name!A59</f>
        <v>Other professional</v>
      </c>
      <c r="B60" s="11">
        <v>207.54799999916412</v>
      </c>
      <c r="C60" s="11">
        <v>248.74399999846727</v>
      </c>
      <c r="D60" s="11">
        <v>233.53799999945068</v>
      </c>
      <c r="E60" s="11">
        <v>260.47600000354504</v>
      </c>
      <c r="F60" s="11">
        <v>292.00500000210707</v>
      </c>
      <c r="G60" s="11"/>
    </row>
    <row r="61" spans="1:7" x14ac:dyDescent="0.3">
      <c r="A61" t="str">
        <f>name!A60</f>
        <v>Veterinary</v>
      </c>
      <c r="B61" s="11">
        <v>68.617999998544477</v>
      </c>
      <c r="C61" s="11">
        <v>105.62799999760728</v>
      </c>
      <c r="D61" s="11">
        <v>99.13500000088203</v>
      </c>
      <c r="E61" s="11">
        <v>111.91199999948347</v>
      </c>
      <c r="F61" s="11">
        <v>129.00000000027103</v>
      </c>
      <c r="G61" s="11"/>
    </row>
    <row r="62" spans="1:7" x14ac:dyDescent="0.3">
      <c r="A62" t="str">
        <f>name!A61</f>
        <v>Rental and leasing</v>
      </c>
      <c r="B62" s="11">
        <v>146.9370000002877</v>
      </c>
      <c r="C62" s="11">
        <v>144.07400000007254</v>
      </c>
      <c r="D62" s="11">
        <v>136.22300000004822</v>
      </c>
      <c r="E62" s="11">
        <v>144.51800000106604</v>
      </c>
      <c r="F62" s="11">
        <v>155.06200000017392</v>
      </c>
      <c r="G62" s="11"/>
    </row>
    <row r="63" spans="1:7" x14ac:dyDescent="0.3">
      <c r="A63" t="str">
        <f>name!A62</f>
        <v>Employment activities</v>
      </c>
      <c r="B63" s="11">
        <v>916.86900000617777</v>
      </c>
      <c r="C63" s="11">
        <v>930.40500000471502</v>
      </c>
      <c r="D63" s="11">
        <v>874.54700000010871</v>
      </c>
      <c r="E63" s="11">
        <v>927.9610000051382</v>
      </c>
      <c r="F63" s="11">
        <v>993.61200000035467</v>
      </c>
      <c r="G63" s="11"/>
    </row>
    <row r="64" spans="1:7" x14ac:dyDescent="0.3">
      <c r="A64" t="str">
        <f>name!A63</f>
        <v>Travel, etc</v>
      </c>
      <c r="B64" s="11">
        <v>85.145000000840525</v>
      </c>
      <c r="C64" s="11">
        <v>90.990000000689648</v>
      </c>
      <c r="D64" s="11">
        <v>85.320999999577495</v>
      </c>
      <c r="E64" s="11">
        <v>90.184000000573647</v>
      </c>
      <c r="F64" s="11">
        <v>96.631999999781812</v>
      </c>
      <c r="G64" s="11"/>
    </row>
    <row r="65" spans="1:7" x14ac:dyDescent="0.3">
      <c r="A65" t="str">
        <f>name!A64</f>
        <v>Security, etc</v>
      </c>
      <c r="B65" s="11">
        <v>176.41700000137897</v>
      </c>
      <c r="C65" s="11">
        <v>196.24900000093905</v>
      </c>
      <c r="D65" s="11">
        <v>185.7780000002721</v>
      </c>
      <c r="E65" s="11">
        <v>196.73200000125416</v>
      </c>
      <c r="F65" s="11">
        <v>210.54900000016929</v>
      </c>
      <c r="G65" s="11"/>
    </row>
    <row r="66" spans="1:7" x14ac:dyDescent="0.3">
      <c r="A66" t="str">
        <f>name!A65</f>
        <v>Services to buildings</v>
      </c>
      <c r="B66" s="11">
        <v>743.02400000608441</v>
      </c>
      <c r="C66" s="11">
        <v>774.38400000513911</v>
      </c>
      <c r="D66" s="11">
        <v>727.07300000036184</v>
      </c>
      <c r="E66" s="11">
        <v>768.30900000539737</v>
      </c>
      <c r="F66" s="11">
        <v>818.1779999991353</v>
      </c>
      <c r="G66" s="11"/>
    </row>
    <row r="67" spans="1:7" x14ac:dyDescent="0.3">
      <c r="A67" t="str">
        <f>name!A66</f>
        <v>Office administrative</v>
      </c>
      <c r="B67" s="11">
        <v>431.894000002746</v>
      </c>
      <c r="C67" s="11">
        <v>503.24300000239384</v>
      </c>
      <c r="D67" s="11">
        <v>474.29799999972579</v>
      </c>
      <c r="E67" s="11">
        <v>502.69900000195719</v>
      </c>
      <c r="F67" s="11">
        <v>538.42899999973883</v>
      </c>
      <c r="G67" s="11"/>
    </row>
    <row r="68" spans="1:7" x14ac:dyDescent="0.3">
      <c r="A68" t="str">
        <f>name!A67</f>
        <v>Public administration and defence</v>
      </c>
      <c r="B68" s="11">
        <v>1050.7089999919901</v>
      </c>
      <c r="C68" s="11">
        <v>1063.7109999941283</v>
      </c>
      <c r="D68" s="11">
        <v>1106.4329999965846</v>
      </c>
      <c r="E68" s="11">
        <v>1135.5730000018098</v>
      </c>
      <c r="F68" s="11">
        <v>1158.0480000032949</v>
      </c>
      <c r="G68" s="11"/>
    </row>
    <row r="69" spans="1:7" x14ac:dyDescent="0.3">
      <c r="A69" t="str">
        <f>name!A68</f>
        <v xml:space="preserve">Education </v>
      </c>
      <c r="B69" s="11">
        <v>2527.3159999829504</v>
      </c>
      <c r="C69" s="11">
        <v>2523.798999987217</v>
      </c>
      <c r="D69" s="11">
        <v>2531.7800000098377</v>
      </c>
      <c r="E69" s="11">
        <v>2543.3239998348904</v>
      </c>
      <c r="F69" s="11">
        <v>2633.2330000334459</v>
      </c>
      <c r="G69" s="11"/>
    </row>
    <row r="70" spans="1:7" x14ac:dyDescent="0.3">
      <c r="A70" t="str">
        <f>name!A69</f>
        <v>Health</v>
      </c>
      <c r="B70" s="11">
        <v>1956.1569999746525</v>
      </c>
      <c r="C70" s="11">
        <v>2148.4439999788283</v>
      </c>
      <c r="D70" s="11">
        <v>2213.0239999955993</v>
      </c>
      <c r="E70" s="11">
        <v>2353.5299999807962</v>
      </c>
      <c r="F70" s="11">
        <v>2506.2629999993633</v>
      </c>
      <c r="G70" s="11"/>
    </row>
    <row r="71" spans="1:7" x14ac:dyDescent="0.3">
      <c r="A71" t="str">
        <f>name!A70</f>
        <v>Residential care</v>
      </c>
      <c r="B71" s="11">
        <v>672.5329999900016</v>
      </c>
      <c r="C71" s="11">
        <v>672.84499999195862</v>
      </c>
      <c r="D71" s="11">
        <v>636.03399999903615</v>
      </c>
      <c r="E71" s="11">
        <v>682.28199999320293</v>
      </c>
      <c r="F71" s="11">
        <v>736.25499999871056</v>
      </c>
      <c r="G71" s="11"/>
    </row>
    <row r="72" spans="1:7" x14ac:dyDescent="0.3">
      <c r="A72" t="str">
        <f>name!A71</f>
        <v>Social work</v>
      </c>
      <c r="B72" s="11">
        <v>842.56999998707886</v>
      </c>
      <c r="C72" s="11">
        <v>847.1819999896793</v>
      </c>
      <c r="D72" s="11">
        <v>798.98399999854939</v>
      </c>
      <c r="E72" s="11">
        <v>847.40199999087997</v>
      </c>
      <c r="F72" s="11">
        <v>897.51599999881785</v>
      </c>
      <c r="G72" s="11"/>
    </row>
    <row r="73" spans="1:7" x14ac:dyDescent="0.3">
      <c r="A73" t="str">
        <f>name!A72</f>
        <v>Arts and entertainment</v>
      </c>
      <c r="B73" s="11">
        <v>150.81600000147475</v>
      </c>
      <c r="C73" s="11">
        <v>172.71700000016671</v>
      </c>
      <c r="D73" s="11">
        <v>183.77300000072617</v>
      </c>
      <c r="E73" s="11">
        <v>174.82400000388844</v>
      </c>
      <c r="F73" s="11">
        <v>182.60400000283386</v>
      </c>
      <c r="G73" s="11"/>
    </row>
    <row r="74" spans="1:7" x14ac:dyDescent="0.3">
      <c r="A74" t="str">
        <f>name!A73</f>
        <v>Libraries, etc</v>
      </c>
      <c r="B74" s="11">
        <v>161.19200000138704</v>
      </c>
      <c r="C74" s="11">
        <v>153.67200000035348</v>
      </c>
      <c r="D74" s="11">
        <v>167.18700000005953</v>
      </c>
      <c r="E74" s="11">
        <v>157.00600000277191</v>
      </c>
      <c r="F74" s="11">
        <v>165.28700000209969</v>
      </c>
      <c r="G74" s="11"/>
    </row>
    <row r="75" spans="1:7" x14ac:dyDescent="0.3">
      <c r="A75" t="str">
        <f>name!A74</f>
        <v>Gambling and betting</v>
      </c>
      <c r="B75" s="11">
        <v>96.141000000180171</v>
      </c>
      <c r="C75" s="11">
        <v>88.316000000093595</v>
      </c>
      <c r="D75" s="11">
        <v>84.679000000155867</v>
      </c>
      <c r="E75" s="11">
        <v>91.362000000958631</v>
      </c>
      <c r="F75" s="11">
        <v>101.03000000070134</v>
      </c>
      <c r="G75" s="11"/>
    </row>
    <row r="76" spans="1:7" x14ac:dyDescent="0.3">
      <c r="A76" t="str">
        <f>name!A75</f>
        <v>Sport and recreation</v>
      </c>
      <c r="B76" s="11">
        <v>427.53800000185248</v>
      </c>
      <c r="C76" s="11">
        <v>448.00700000061209</v>
      </c>
      <c r="D76" s="11">
        <v>429.0990000009009</v>
      </c>
      <c r="E76" s="11">
        <v>462.4170000055758</v>
      </c>
      <c r="F76" s="11">
        <v>508.65400000353156</v>
      </c>
      <c r="G76" s="11"/>
    </row>
    <row r="77" spans="1:7" x14ac:dyDescent="0.3">
      <c r="A77" t="str">
        <f>name!A76</f>
        <v>Membership organisations</v>
      </c>
      <c r="B77" s="11">
        <v>363.70899999778902</v>
      </c>
      <c r="C77" s="11">
        <v>360.79499999807575</v>
      </c>
      <c r="D77" s="11">
        <v>341.49799999854827</v>
      </c>
      <c r="E77" s="11">
        <v>339.69300000224229</v>
      </c>
      <c r="F77" s="11">
        <v>341.4780000028187</v>
      </c>
      <c r="G77" s="11"/>
    </row>
    <row r="78" spans="1:7" x14ac:dyDescent="0.3">
      <c r="A78" t="str">
        <f>name!A77</f>
        <v>Repair of goods</v>
      </c>
      <c r="B78" s="11">
        <v>61.804000000101105</v>
      </c>
      <c r="C78" s="11">
        <v>64.886000000157608</v>
      </c>
      <c r="D78" s="11">
        <v>74.547999999762879</v>
      </c>
      <c r="E78" s="11">
        <v>75.786000000763707</v>
      </c>
      <c r="F78" s="11">
        <v>78.33300000022372</v>
      </c>
      <c r="G78" s="11"/>
    </row>
    <row r="79" spans="1:7" x14ac:dyDescent="0.3">
      <c r="A79" t="str">
        <f>name!A78</f>
        <v>Other personal service</v>
      </c>
      <c r="B79" s="11">
        <v>409.91300000461939</v>
      </c>
      <c r="C79" s="11">
        <v>438.43800000435948</v>
      </c>
      <c r="D79" s="11">
        <v>440.26199999902451</v>
      </c>
      <c r="E79" s="11">
        <v>433.96800000477765</v>
      </c>
      <c r="F79" s="11">
        <v>436.27300000076957</v>
      </c>
      <c r="G79" s="11"/>
    </row>
    <row r="80" spans="1:7" x14ac:dyDescent="0.3">
      <c r="B80" s="11"/>
      <c r="C80" s="11"/>
      <c r="D80" s="11"/>
      <c r="E80" s="11"/>
      <c r="F80" s="11"/>
      <c r="G80" s="11"/>
    </row>
    <row r="81" spans="1:7" x14ac:dyDescent="0.3">
      <c r="A81" s="23" t="str">
        <f>name!A3</f>
        <v>All industries</v>
      </c>
      <c r="B81" s="33">
        <f>SUM(B5:B79)</f>
        <v>28656.171999997779</v>
      </c>
      <c r="C81" s="33">
        <f t="shared" ref="C81:F81" si="0">SUM(C5:C79)</f>
        <v>30212.759999993876</v>
      </c>
      <c r="D81" s="33">
        <f t="shared" si="0"/>
        <v>29859.680999995031</v>
      </c>
      <c r="E81" s="33">
        <f t="shared" si="0"/>
        <v>30754.74800001003</v>
      </c>
      <c r="F81" s="33">
        <f t="shared" si="0"/>
        <v>32070.090999998894</v>
      </c>
      <c r="G81" s="11"/>
    </row>
    <row r="82" spans="1:7" x14ac:dyDescent="0.3">
      <c r="B82" s="11"/>
      <c r="C82" s="11"/>
      <c r="D82" s="11"/>
      <c r="E82" s="11"/>
      <c r="F82" s="11"/>
      <c r="G82" s="11"/>
    </row>
    <row r="83" spans="1:7" x14ac:dyDescent="0.3">
      <c r="B83" s="11"/>
      <c r="C83" s="11"/>
      <c r="D83" s="11"/>
      <c r="E83" s="11"/>
      <c r="F83" s="11"/>
      <c r="G83" s="11"/>
    </row>
    <row r="84" spans="1:7" x14ac:dyDescent="0.3">
      <c r="B84" s="11"/>
      <c r="C84" s="11"/>
      <c r="D84" s="11"/>
      <c r="E84" s="11"/>
      <c r="F84" s="11"/>
      <c r="G84" s="11"/>
    </row>
    <row r="85" spans="1:7" ht="15.45" x14ac:dyDescent="0.4">
      <c r="A85" s="18" t="str">
        <f>CONCATENATE($A$1," (Continued)")</f>
        <v>Industry Table 3  Employment by Industry (SIC 2007), 2015-2035, England (Continued)</v>
      </c>
      <c r="B85" s="17"/>
      <c r="C85" s="17"/>
      <c r="D85" s="17"/>
      <c r="E85" s="17"/>
      <c r="F85" s="17"/>
      <c r="G85" s="11"/>
    </row>
    <row r="87" spans="1:7" x14ac:dyDescent="0.3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3">
      <c r="A88" s="27" t="s">
        <v>463</v>
      </c>
    </row>
    <row r="89" spans="1:7" x14ac:dyDescent="0.3">
      <c r="A89" t="str">
        <f>$A$5</f>
        <v>Agriculture, etc</v>
      </c>
      <c r="B89" s="17">
        <f t="shared" ref="B89:F98" si="1">B5/B$81*100</f>
        <v>0.91660533026147994</v>
      </c>
      <c r="C89" s="17">
        <f t="shared" si="1"/>
        <v>0.89498940183526088</v>
      </c>
      <c r="D89" s="17">
        <f t="shared" si="1"/>
        <v>0.8027346306840808</v>
      </c>
      <c r="E89" s="17">
        <f t="shared" si="1"/>
        <v>0.80279636821832001</v>
      </c>
      <c r="F89" s="17">
        <f t="shared" si="1"/>
        <v>0.77688897109178667</v>
      </c>
    </row>
    <row r="90" spans="1:7" x14ac:dyDescent="0.3">
      <c r="A90" t="str">
        <f>$A$6</f>
        <v>Coal, oil &amp; gas; Mining &amp; related</v>
      </c>
      <c r="B90" s="17">
        <f t="shared" si="1"/>
        <v>0.10606790048531302</v>
      </c>
      <c r="C90" s="17">
        <f t="shared" si="1"/>
        <v>7.935057902681561E-2</v>
      </c>
      <c r="D90" s="17">
        <f t="shared" si="1"/>
        <v>8.2070535180874662E-2</v>
      </c>
      <c r="E90" s="17">
        <f t="shared" si="1"/>
        <v>6.4211223581008225E-2</v>
      </c>
      <c r="F90" s="17">
        <f t="shared" si="1"/>
        <v>4.583086465218808E-2</v>
      </c>
    </row>
    <row r="91" spans="1:7" x14ac:dyDescent="0.3">
      <c r="A91" t="str">
        <f>$A$7</f>
        <v>Food products</v>
      </c>
      <c r="B91" s="17">
        <f t="shared" si="1"/>
        <v>1.0890638149481748</v>
      </c>
      <c r="C91" s="17">
        <f t="shared" si="1"/>
        <v>1.1016140200380802</v>
      </c>
      <c r="D91" s="17">
        <f t="shared" si="1"/>
        <v>1.1128518084316732</v>
      </c>
      <c r="E91" s="17">
        <f t="shared" si="1"/>
        <v>1.0944066262674725</v>
      </c>
      <c r="F91" s="17">
        <f t="shared" si="1"/>
        <v>1.0229094766196685</v>
      </c>
    </row>
    <row r="92" spans="1:7" x14ac:dyDescent="0.3">
      <c r="A92" t="str">
        <f>$A$8</f>
        <v>Beverages and tobacco</v>
      </c>
      <c r="B92" s="17">
        <f t="shared" si="1"/>
        <v>9.3676154651840787E-2</v>
      </c>
      <c r="C92" s="17">
        <f t="shared" si="1"/>
        <v>0.11125431771219364</v>
      </c>
      <c r="D92" s="17">
        <f t="shared" si="1"/>
        <v>0.1172651509569187</v>
      </c>
      <c r="E92" s="17">
        <f t="shared" si="1"/>
        <v>0.11455141820753603</v>
      </c>
      <c r="F92" s="17">
        <f t="shared" si="1"/>
        <v>0.10615810226382258</v>
      </c>
    </row>
    <row r="93" spans="1:7" x14ac:dyDescent="0.3">
      <c r="A93" t="str">
        <f>$A$9</f>
        <v>Textiles</v>
      </c>
      <c r="B93" s="17">
        <f t="shared" si="1"/>
        <v>0.17259109137182418</v>
      </c>
      <c r="C93" s="17">
        <f t="shared" si="1"/>
        <v>0.17835841545116854</v>
      </c>
      <c r="D93" s="17">
        <f t="shared" si="1"/>
        <v>0.19029339261866646</v>
      </c>
      <c r="E93" s="17">
        <f t="shared" si="1"/>
        <v>0.1633568904562904</v>
      </c>
      <c r="F93" s="17">
        <f t="shared" si="1"/>
        <v>0.13403142510593152</v>
      </c>
    </row>
    <row r="94" spans="1:7" x14ac:dyDescent="0.3">
      <c r="A94" t="str">
        <f>$A$10</f>
        <v>Wearing apparel; Leather, etc</v>
      </c>
      <c r="B94" s="17">
        <f t="shared" si="1"/>
        <v>0.16897232470678289</v>
      </c>
      <c r="C94" s="17">
        <f t="shared" si="1"/>
        <v>0.14682869092462256</v>
      </c>
      <c r="D94" s="17">
        <f t="shared" si="1"/>
        <v>0.16503525272094452</v>
      </c>
      <c r="E94" s="17">
        <f t="shared" si="1"/>
        <v>0.14182200419978971</v>
      </c>
      <c r="F94" s="17">
        <f t="shared" si="1"/>
        <v>0.11733674220034687</v>
      </c>
    </row>
    <row r="95" spans="1:7" x14ac:dyDescent="0.3">
      <c r="A95" t="str">
        <f>$A$11</f>
        <v xml:space="preserve">Wood and cork </v>
      </c>
      <c r="B95" s="17">
        <f t="shared" si="1"/>
        <v>0.23156617010774366</v>
      </c>
      <c r="C95" s="17">
        <f t="shared" si="1"/>
        <v>0.24520103426570522</v>
      </c>
      <c r="D95" s="17">
        <f t="shared" si="1"/>
        <v>0.25690830387606861</v>
      </c>
      <c r="E95" s="17">
        <f t="shared" si="1"/>
        <v>0.24824784777880268</v>
      </c>
      <c r="F95" s="17">
        <f t="shared" si="1"/>
        <v>0.22919174130154474</v>
      </c>
    </row>
    <row r="96" spans="1:7" x14ac:dyDescent="0.3">
      <c r="A96" t="str">
        <f>$A$12</f>
        <v>Paper, etc</v>
      </c>
      <c r="B96" s="17">
        <f t="shared" si="1"/>
        <v>0.191525930260775</v>
      </c>
      <c r="C96" s="17">
        <f t="shared" si="1"/>
        <v>0.15420636843502475</v>
      </c>
      <c r="D96" s="17">
        <f t="shared" si="1"/>
        <v>0.13864850063227402</v>
      </c>
      <c r="E96" s="17">
        <f t="shared" si="1"/>
        <v>0.13427520199571871</v>
      </c>
      <c r="F96" s="17">
        <f t="shared" si="1"/>
        <v>0.12413123492578824</v>
      </c>
    </row>
    <row r="97" spans="1:6" x14ac:dyDescent="0.3">
      <c r="A97" t="str">
        <f>$A$13</f>
        <v>Printing and recording</v>
      </c>
      <c r="B97" s="17">
        <f t="shared" si="1"/>
        <v>0.37961804528513327</v>
      </c>
      <c r="C97" s="17">
        <f t="shared" si="1"/>
        <v>0.281688928782931</v>
      </c>
      <c r="D97" s="17">
        <f t="shared" si="1"/>
        <v>0.27108126171856672</v>
      </c>
      <c r="E97" s="17">
        <f t="shared" si="1"/>
        <v>0.24369895666378821</v>
      </c>
      <c r="F97" s="17">
        <f t="shared" si="1"/>
        <v>0.19758908697882221</v>
      </c>
    </row>
    <row r="98" spans="1:6" x14ac:dyDescent="0.3">
      <c r="A98" t="str">
        <f>$A$14</f>
        <v>Coke and petroleum; Chemicals, etc</v>
      </c>
      <c r="B98" s="17">
        <f t="shared" si="1"/>
        <v>0.30734740145951028</v>
      </c>
      <c r="C98" s="17">
        <f t="shared" si="1"/>
        <v>0.32212879591171989</v>
      </c>
      <c r="D98" s="17">
        <f t="shared" si="1"/>
        <v>0.31829877887732277</v>
      </c>
      <c r="E98" s="17">
        <f t="shared" si="1"/>
        <v>0.29111277387352003</v>
      </c>
      <c r="F98" s="17">
        <f t="shared" si="1"/>
        <v>0.25474514556268224</v>
      </c>
    </row>
    <row r="99" spans="1:6" x14ac:dyDescent="0.3">
      <c r="A99" t="str">
        <f>$A$15</f>
        <v>Pharmaceuticals</v>
      </c>
      <c r="B99" s="17">
        <f t="shared" ref="B99:F108" si="2">B15/B$81*100</f>
        <v>0.11941929996754638</v>
      </c>
      <c r="C99" s="17">
        <f t="shared" si="2"/>
        <v>0.12768446179631107</v>
      </c>
      <c r="D99" s="17">
        <f t="shared" si="2"/>
        <v>0.13559086582285693</v>
      </c>
      <c r="E99" s="17">
        <f t="shared" si="2"/>
        <v>0.14228372152541294</v>
      </c>
      <c r="F99" s="17">
        <f t="shared" si="2"/>
        <v>0.13226030446900416</v>
      </c>
    </row>
    <row r="100" spans="1:6" x14ac:dyDescent="0.3">
      <c r="A100" t="str">
        <f>$A$16</f>
        <v>Rubber and plastic</v>
      </c>
      <c r="B100" s="17">
        <f t="shared" si="2"/>
        <v>0.54631860808212018</v>
      </c>
      <c r="C100" s="17">
        <f t="shared" si="2"/>
        <v>0.48805206806560802</v>
      </c>
      <c r="D100" s="17">
        <f t="shared" si="2"/>
        <v>0.52571559622436703</v>
      </c>
      <c r="E100" s="17">
        <f t="shared" si="2"/>
        <v>0.50233219274260632</v>
      </c>
      <c r="F100" s="17">
        <f t="shared" si="2"/>
        <v>0.42926912804837808</v>
      </c>
    </row>
    <row r="101" spans="1:6" x14ac:dyDescent="0.3">
      <c r="A101" t="str">
        <f>$A$17</f>
        <v>Other non-metallic</v>
      </c>
      <c r="B101" s="17">
        <f t="shared" si="2"/>
        <v>0.25758499774455434</v>
      </c>
      <c r="C101" s="17">
        <f t="shared" si="2"/>
        <v>0.26969730670069142</v>
      </c>
      <c r="D101" s="17">
        <f t="shared" si="2"/>
        <v>0.27621192604159156</v>
      </c>
      <c r="E101" s="17">
        <f t="shared" si="2"/>
        <v>0.26361132921780006</v>
      </c>
      <c r="F101" s="17">
        <f t="shared" si="2"/>
        <v>0.22481071226124866</v>
      </c>
    </row>
    <row r="102" spans="1:6" x14ac:dyDescent="0.3">
      <c r="A102" t="str">
        <f>$A$18</f>
        <v>Basic metals</v>
      </c>
      <c r="B102" s="17">
        <f t="shared" si="2"/>
        <v>0.18615535948042006</v>
      </c>
      <c r="C102" s="17">
        <f t="shared" si="2"/>
        <v>0.18968144585225316</v>
      </c>
      <c r="D102" s="17">
        <f t="shared" si="2"/>
        <v>0.16148531526480855</v>
      </c>
      <c r="E102" s="17">
        <f t="shared" si="2"/>
        <v>0.15258131850102499</v>
      </c>
      <c r="F102" s="17">
        <f t="shared" si="2"/>
        <v>0.12867129064256932</v>
      </c>
    </row>
    <row r="103" spans="1:6" x14ac:dyDescent="0.3">
      <c r="A103" t="str">
        <f>$A$19</f>
        <v>Metal products</v>
      </c>
      <c r="B103" s="17">
        <f t="shared" si="2"/>
        <v>0.97607942889101451</v>
      </c>
      <c r="C103" s="17">
        <f t="shared" si="2"/>
        <v>0.89631003589055547</v>
      </c>
      <c r="D103" s="17">
        <f t="shared" si="2"/>
        <v>0.79491472129097807</v>
      </c>
      <c r="E103" s="17">
        <f t="shared" si="2"/>
        <v>0.74925991915374957</v>
      </c>
      <c r="F103" s="17">
        <f t="shared" si="2"/>
        <v>0.63055012846682235</v>
      </c>
    </row>
    <row r="104" spans="1:6" x14ac:dyDescent="0.3">
      <c r="A104" t="str">
        <f>$A$20</f>
        <v>Computer, etc</v>
      </c>
      <c r="B104" s="17">
        <f t="shared" si="2"/>
        <v>0.3431616756059041</v>
      </c>
      <c r="C104" s="17">
        <f t="shared" si="2"/>
        <v>0.33210471337167813</v>
      </c>
      <c r="D104" s="17">
        <f t="shared" si="2"/>
        <v>0.34918658374048583</v>
      </c>
      <c r="E104" s="17">
        <f t="shared" si="2"/>
        <v>0.35194240577284741</v>
      </c>
      <c r="F104" s="17">
        <f t="shared" si="2"/>
        <v>0.28742668675345828</v>
      </c>
    </row>
    <row r="105" spans="1:6" x14ac:dyDescent="0.3">
      <c r="A105" t="str">
        <f>$A$21</f>
        <v>Electrical equipment</v>
      </c>
      <c r="B105" s="17">
        <f t="shared" si="2"/>
        <v>0.26383496023045544</v>
      </c>
      <c r="C105" s="17">
        <f t="shared" si="2"/>
        <v>0.22768525616292554</v>
      </c>
      <c r="D105" s="17">
        <f t="shared" si="2"/>
        <v>0.20456347139091191</v>
      </c>
      <c r="E105" s="17">
        <f t="shared" si="2"/>
        <v>0.19397980435503404</v>
      </c>
      <c r="F105" s="17">
        <f t="shared" si="2"/>
        <v>0.17743947156251036</v>
      </c>
    </row>
    <row r="106" spans="1:6" x14ac:dyDescent="0.3">
      <c r="A106" t="str">
        <f>$A$22</f>
        <v>Machinery n.e.c.</v>
      </c>
      <c r="B106" s="17">
        <f t="shared" si="2"/>
        <v>0.54861828718619043</v>
      </c>
      <c r="C106" s="17">
        <f t="shared" si="2"/>
        <v>0.56126616700912624</v>
      </c>
      <c r="D106" s="17">
        <f t="shared" si="2"/>
        <v>0.52682411442900268</v>
      </c>
      <c r="E106" s="17">
        <f t="shared" si="2"/>
        <v>0.52378253920490991</v>
      </c>
      <c r="F106" s="17">
        <f t="shared" si="2"/>
        <v>0.43995197893275817</v>
      </c>
    </row>
    <row r="107" spans="1:6" x14ac:dyDescent="0.3">
      <c r="A107" t="str">
        <f>$A$23</f>
        <v>Motor vehicles, etc</v>
      </c>
      <c r="B107" s="17">
        <f t="shared" si="2"/>
        <v>0.4731371657032698</v>
      </c>
      <c r="C107" s="17">
        <f t="shared" si="2"/>
        <v>0.49199411109534563</v>
      </c>
      <c r="D107" s="17">
        <f t="shared" si="2"/>
        <v>0.43642797121471144</v>
      </c>
      <c r="E107" s="17">
        <f t="shared" si="2"/>
        <v>0.42137233574546351</v>
      </c>
      <c r="F107" s="17">
        <f t="shared" si="2"/>
        <v>0.37438621549213058</v>
      </c>
    </row>
    <row r="108" spans="1:6" x14ac:dyDescent="0.3">
      <c r="A108" t="str">
        <f>$A$24</f>
        <v>Other transport equipment</v>
      </c>
      <c r="B108" s="17">
        <f t="shared" si="2"/>
        <v>0.39824928465506698</v>
      </c>
      <c r="C108" s="17">
        <f t="shared" si="2"/>
        <v>0.39651458522732264</v>
      </c>
      <c r="D108" s="17">
        <f t="shared" si="2"/>
        <v>0.40205385985066494</v>
      </c>
      <c r="E108" s="17">
        <f t="shared" si="2"/>
        <v>0.33506045960808606</v>
      </c>
      <c r="F108" s="17">
        <f t="shared" si="2"/>
        <v>0.31986501067279582</v>
      </c>
    </row>
    <row r="109" spans="1:6" x14ac:dyDescent="0.3">
      <c r="A109" t="str">
        <f>$A$25</f>
        <v>Furniture</v>
      </c>
      <c r="B109" s="17">
        <f t="shared" ref="B109:F118" si="3">B25/B$81*100</f>
        <v>0.28763786035334032</v>
      </c>
      <c r="C109" s="17">
        <f t="shared" si="3"/>
        <v>0.2790973085543173</v>
      </c>
      <c r="D109" s="17">
        <f t="shared" si="3"/>
        <v>0.29166754996474747</v>
      </c>
      <c r="E109" s="17">
        <f t="shared" si="3"/>
        <v>0.24845594573040397</v>
      </c>
      <c r="F109" s="17">
        <f t="shared" si="3"/>
        <v>0.22428374150883801</v>
      </c>
    </row>
    <row r="110" spans="1:6" x14ac:dyDescent="0.3">
      <c r="A110" t="str">
        <f>$A$26</f>
        <v>Other manufacturing</v>
      </c>
      <c r="B110" s="17">
        <f t="shared" si="3"/>
        <v>0.29882218741577782</v>
      </c>
      <c r="C110" s="17">
        <f t="shared" si="3"/>
        <v>0.28277456280014923</v>
      </c>
      <c r="D110" s="17">
        <f t="shared" si="3"/>
        <v>0.29771249063175975</v>
      </c>
      <c r="E110" s="17">
        <f t="shared" si="3"/>
        <v>0.25220496035476342</v>
      </c>
      <c r="F110" s="17">
        <f t="shared" si="3"/>
        <v>0.22717428522430516</v>
      </c>
    </row>
    <row r="111" spans="1:6" x14ac:dyDescent="0.3">
      <c r="A111" t="str">
        <f>$A$27</f>
        <v>Repair and installation</v>
      </c>
      <c r="B111" s="17">
        <f t="shared" si="3"/>
        <v>0.33562054275748049</v>
      </c>
      <c r="C111" s="17">
        <f t="shared" si="3"/>
        <v>0.37777084913747422</v>
      </c>
      <c r="D111" s="17">
        <f t="shared" si="3"/>
        <v>0.42322287367911732</v>
      </c>
      <c r="E111" s="17">
        <f t="shared" si="3"/>
        <v>0.35977209112577535</v>
      </c>
      <c r="F111" s="17">
        <f t="shared" si="3"/>
        <v>0.32681541190470109</v>
      </c>
    </row>
    <row r="112" spans="1:6" x14ac:dyDescent="0.3">
      <c r="A112" t="str">
        <f>$A$28</f>
        <v>Electricity, gas, etc</v>
      </c>
      <c r="B112" s="17">
        <f t="shared" si="3"/>
        <v>0.34472852828902678</v>
      </c>
      <c r="C112" s="17">
        <f t="shared" si="3"/>
        <v>0.39388324667953067</v>
      </c>
      <c r="D112" s="17">
        <f t="shared" si="3"/>
        <v>0.39762983402099339</v>
      </c>
      <c r="E112" s="17">
        <f t="shared" si="3"/>
        <v>0.37148410385549274</v>
      </c>
      <c r="F112" s="17">
        <f t="shared" si="3"/>
        <v>0.35389360136085934</v>
      </c>
    </row>
    <row r="113" spans="1:6" x14ac:dyDescent="0.3">
      <c r="A113" t="str">
        <f>$A$29</f>
        <v>Water</v>
      </c>
      <c r="B113" s="17">
        <f t="shared" si="3"/>
        <v>0.11154665040345416</v>
      </c>
      <c r="C113" s="17">
        <f t="shared" si="3"/>
        <v>0.12789960268390876</v>
      </c>
      <c r="D113" s="17">
        <f t="shared" si="3"/>
        <v>0.12217813043563343</v>
      </c>
      <c r="E113" s="17">
        <f t="shared" si="3"/>
        <v>0.12475797233067881</v>
      </c>
      <c r="F113" s="17">
        <f t="shared" si="3"/>
        <v>0.12914525250327147</v>
      </c>
    </row>
    <row r="114" spans="1:6" x14ac:dyDescent="0.3">
      <c r="A114" t="str">
        <f>$A$30</f>
        <v>Sewerage</v>
      </c>
      <c r="B114" s="17">
        <f t="shared" si="3"/>
        <v>7.6475671628741429E-2</v>
      </c>
      <c r="C114" s="17">
        <f t="shared" si="3"/>
        <v>7.0685366050779602E-2</v>
      </c>
      <c r="D114" s="17">
        <f t="shared" si="3"/>
        <v>6.5208332265985089E-2</v>
      </c>
      <c r="E114" s="17">
        <f t="shared" si="3"/>
        <v>6.6711650507369963E-2</v>
      </c>
      <c r="F114" s="17">
        <f t="shared" si="3"/>
        <v>6.9304449432851273E-2</v>
      </c>
    </row>
    <row r="115" spans="1:6" x14ac:dyDescent="0.3">
      <c r="A115" t="str">
        <f>$A$31</f>
        <v>Waste management</v>
      </c>
      <c r="B115" s="17">
        <f t="shared" si="3"/>
        <v>0.38201543458137022</v>
      </c>
      <c r="C115" s="17">
        <f t="shared" si="3"/>
        <v>0.41565550449624117</v>
      </c>
      <c r="D115" s="17">
        <f t="shared" si="3"/>
        <v>0.38734506239356464</v>
      </c>
      <c r="E115" s="17">
        <f t="shared" si="3"/>
        <v>0.39507720889296172</v>
      </c>
      <c r="F115" s="17">
        <f t="shared" si="3"/>
        <v>0.40785977189875977</v>
      </c>
    </row>
    <row r="116" spans="1:6" x14ac:dyDescent="0.3">
      <c r="A116" t="str">
        <f>$A$32</f>
        <v>Construction</v>
      </c>
      <c r="B116" s="17">
        <f t="shared" si="3"/>
        <v>1.9494613586047069</v>
      </c>
      <c r="C116" s="17">
        <f t="shared" si="3"/>
        <v>2.1769245842036051</v>
      </c>
      <c r="D116" s="17">
        <f t="shared" si="3"/>
        <v>2.2234597884387211</v>
      </c>
      <c r="E116" s="17">
        <f t="shared" si="3"/>
        <v>2.2778434080474983</v>
      </c>
      <c r="F116" s="17">
        <f t="shared" si="3"/>
        <v>2.3623818216889658</v>
      </c>
    </row>
    <row r="117" spans="1:6" x14ac:dyDescent="0.3">
      <c r="A117" t="str">
        <f>$A$33</f>
        <v>Civil engineering</v>
      </c>
      <c r="B117" s="17">
        <f t="shared" si="3"/>
        <v>0.86191205160807194</v>
      </c>
      <c r="C117" s="17">
        <f t="shared" si="3"/>
        <v>0.86946376300239703</v>
      </c>
      <c r="D117" s="17">
        <f t="shared" si="3"/>
        <v>0.87505958284281105</v>
      </c>
      <c r="E117" s="17">
        <f t="shared" si="3"/>
        <v>0.88750523981137375</v>
      </c>
      <c r="F117" s="17">
        <f t="shared" si="3"/>
        <v>0.90884369487112382</v>
      </c>
    </row>
    <row r="118" spans="1:6" x14ac:dyDescent="0.3">
      <c r="A118" t="str">
        <f>$A$34</f>
        <v>Specialised construction</v>
      </c>
      <c r="B118" s="17">
        <f t="shared" si="3"/>
        <v>3.4712312586260534</v>
      </c>
      <c r="C118" s="17">
        <f t="shared" si="3"/>
        <v>3.5625973926598253</v>
      </c>
      <c r="D118" s="17">
        <f t="shared" si="3"/>
        <v>3.5987892837373061</v>
      </c>
      <c r="E118" s="17">
        <f t="shared" si="3"/>
        <v>3.6562029380379863</v>
      </c>
      <c r="F118" s="17">
        <f t="shared" si="3"/>
        <v>3.750634820371594</v>
      </c>
    </row>
    <row r="119" spans="1:6" x14ac:dyDescent="0.3">
      <c r="A119" t="str">
        <f>$A$35</f>
        <v>Motor vehicle trade</v>
      </c>
      <c r="B119" s="17">
        <f t="shared" ref="B119:F128" si="4">B35/B$81*100</f>
        <v>1.7201948676298868</v>
      </c>
      <c r="C119" s="17">
        <f t="shared" si="4"/>
        <v>1.869296284099214</v>
      </c>
      <c r="D119" s="17">
        <f t="shared" si="4"/>
        <v>1.7310432753812228</v>
      </c>
      <c r="E119" s="17">
        <f t="shared" si="4"/>
        <v>1.7312156158868928</v>
      </c>
      <c r="F119" s="17">
        <f t="shared" si="4"/>
        <v>1.7257200798108978</v>
      </c>
    </row>
    <row r="120" spans="1:6" x14ac:dyDescent="0.3">
      <c r="A120" t="str">
        <f>$A$36</f>
        <v>Wholesale trade</v>
      </c>
      <c r="B120" s="17">
        <f t="shared" si="4"/>
        <v>3.7666929135121388</v>
      </c>
      <c r="C120" s="17">
        <f t="shared" si="4"/>
        <v>3.6956438273214105</v>
      </c>
      <c r="D120" s="17">
        <f t="shared" si="4"/>
        <v>3.7048419907777927</v>
      </c>
      <c r="E120" s="17">
        <f t="shared" si="4"/>
        <v>3.6406216042267801</v>
      </c>
      <c r="F120" s="17">
        <f t="shared" si="4"/>
        <v>3.5126124213311081</v>
      </c>
    </row>
    <row r="121" spans="1:6" x14ac:dyDescent="0.3">
      <c r="A121" t="str">
        <f>$A$37</f>
        <v>Retail trade</v>
      </c>
      <c r="B121" s="17">
        <f t="shared" si="4"/>
        <v>9.3162443332144651</v>
      </c>
      <c r="C121" s="17">
        <f t="shared" si="4"/>
        <v>8.6383501542045931</v>
      </c>
      <c r="D121" s="17">
        <f t="shared" si="4"/>
        <v>8.8295953330357495</v>
      </c>
      <c r="E121" s="17">
        <f t="shared" si="4"/>
        <v>8.5565162168767444</v>
      </c>
      <c r="F121" s="17">
        <f t="shared" si="4"/>
        <v>8.2585671490267494</v>
      </c>
    </row>
    <row r="122" spans="1:6" x14ac:dyDescent="0.3">
      <c r="A122" t="str">
        <f>$A$38</f>
        <v>Land transport, etc</v>
      </c>
      <c r="B122" s="17">
        <f t="shared" si="4"/>
        <v>2.2474844162936236</v>
      </c>
      <c r="C122" s="17">
        <f t="shared" si="4"/>
        <v>2.4827787993825172</v>
      </c>
      <c r="D122" s="17">
        <f t="shared" si="4"/>
        <v>2.3754573935425274</v>
      </c>
      <c r="E122" s="17">
        <f t="shared" si="4"/>
        <v>2.5103148301368527</v>
      </c>
      <c r="F122" s="17">
        <f t="shared" si="4"/>
        <v>2.4299307414185036</v>
      </c>
    </row>
    <row r="123" spans="1:6" x14ac:dyDescent="0.3">
      <c r="A123" t="str">
        <f>$A$39</f>
        <v>Water transport</v>
      </c>
      <c r="B123" s="17">
        <f t="shared" si="4"/>
        <v>4.9619328080742917E-2</v>
      </c>
      <c r="C123" s="17">
        <f t="shared" si="4"/>
        <v>5.3182827388469037E-2</v>
      </c>
      <c r="D123" s="17">
        <f t="shared" si="4"/>
        <v>5.3617451573043019E-2</v>
      </c>
      <c r="E123" s="17">
        <f t="shared" si="4"/>
        <v>4.3635538812382954E-2</v>
      </c>
      <c r="F123" s="17">
        <f t="shared" si="4"/>
        <v>3.9338834430034365E-2</v>
      </c>
    </row>
    <row r="124" spans="1:6" x14ac:dyDescent="0.3">
      <c r="A124" t="str">
        <f>$A$40</f>
        <v>Air transport</v>
      </c>
      <c r="B124" s="17">
        <f t="shared" si="4"/>
        <v>0.24720677974903807</v>
      </c>
      <c r="C124" s="17">
        <f t="shared" si="4"/>
        <v>0.24979180981939941</v>
      </c>
      <c r="D124" s="17">
        <f t="shared" si="4"/>
        <v>0.23601725684814046</v>
      </c>
      <c r="E124" s="17">
        <f t="shared" si="4"/>
        <v>0.23799577223157387</v>
      </c>
      <c r="F124" s="17">
        <f t="shared" si="4"/>
        <v>0.23134639686480091</v>
      </c>
    </row>
    <row r="125" spans="1:6" x14ac:dyDescent="0.3">
      <c r="A125" t="str">
        <f>$A$41</f>
        <v>Warehousing, etc</v>
      </c>
      <c r="B125" s="17">
        <f t="shared" si="4"/>
        <v>1.4747573402437288</v>
      </c>
      <c r="C125" s="17">
        <f t="shared" si="4"/>
        <v>1.6077081339196289</v>
      </c>
      <c r="D125" s="17">
        <f t="shared" si="4"/>
        <v>1.6879014882988139</v>
      </c>
      <c r="E125" s="17">
        <f t="shared" si="4"/>
        <v>1.7247385672074196</v>
      </c>
      <c r="F125" s="17">
        <f t="shared" si="4"/>
        <v>1.6980026654750686</v>
      </c>
    </row>
    <row r="126" spans="1:6" x14ac:dyDescent="0.3">
      <c r="A126" t="str">
        <f>$A$42</f>
        <v>Postal and courier</v>
      </c>
      <c r="B126" s="17">
        <f t="shared" si="4"/>
        <v>0.86520628087541718</v>
      </c>
      <c r="C126" s="17">
        <f t="shared" si="4"/>
        <v>0.88495721675826</v>
      </c>
      <c r="D126" s="17">
        <f t="shared" si="4"/>
        <v>0.94772948177318173</v>
      </c>
      <c r="E126" s="17">
        <f t="shared" si="4"/>
        <v>0.97186619771340554</v>
      </c>
      <c r="F126" s="17">
        <f t="shared" si="4"/>
        <v>0.96764926547520247</v>
      </c>
    </row>
    <row r="127" spans="1:6" x14ac:dyDescent="0.3">
      <c r="A127" t="str">
        <f>$A$43</f>
        <v>Accommodation</v>
      </c>
      <c r="B127" s="17">
        <f t="shared" si="4"/>
        <v>1.3541829662567184</v>
      </c>
      <c r="C127" s="17">
        <f t="shared" si="4"/>
        <v>1.4453859892494429</v>
      </c>
      <c r="D127" s="17">
        <f t="shared" si="4"/>
        <v>1.3406070882064212</v>
      </c>
      <c r="E127" s="17">
        <f t="shared" si="4"/>
        <v>1.4525464491182289</v>
      </c>
      <c r="F127" s="17">
        <f t="shared" si="4"/>
        <v>1.5189261545830104</v>
      </c>
    </row>
    <row r="128" spans="1:6" x14ac:dyDescent="0.3">
      <c r="A128" t="str">
        <f>$A$44</f>
        <v>Food and beverage services</v>
      </c>
      <c r="B128" s="17">
        <f t="shared" si="4"/>
        <v>5.2182196562276699</v>
      </c>
      <c r="C128" s="17">
        <f t="shared" si="4"/>
        <v>5.5779644098218961</v>
      </c>
      <c r="D128" s="17">
        <f t="shared" si="4"/>
        <v>5.4782835757966399</v>
      </c>
      <c r="E128" s="17">
        <f t="shared" si="4"/>
        <v>5.4845320144775407</v>
      </c>
      <c r="F128" s="17">
        <f t="shared" si="4"/>
        <v>6.0936496874644943</v>
      </c>
    </row>
    <row r="129" spans="1:6" x14ac:dyDescent="0.3">
      <c r="A129" t="str">
        <f>$A$45</f>
        <v>Publishing activities</v>
      </c>
      <c r="B129" s="17">
        <f t="shared" ref="B129:F129" si="5">B45/B$81*100</f>
        <v>0.56900830997040575</v>
      </c>
      <c r="C129" s="17">
        <f t="shared" si="5"/>
        <v>0.48337192629590314</v>
      </c>
      <c r="D129" s="17">
        <f t="shared" si="5"/>
        <v>0.49649224316854462</v>
      </c>
      <c r="E129" s="17">
        <f t="shared" si="5"/>
        <v>0.48433497163372469</v>
      </c>
      <c r="F129" s="17">
        <f t="shared" si="5"/>
        <v>0.46574236412679615</v>
      </c>
    </row>
    <row r="130" spans="1:6" x14ac:dyDescent="0.3">
      <c r="A130" t="str">
        <f>$A$46</f>
        <v>Film and music</v>
      </c>
      <c r="B130" s="17">
        <f t="shared" ref="B130:B154" si="6">B46/B$81*100</f>
        <v>0.47978145859952237</v>
      </c>
      <c r="C130" s="17">
        <f t="shared" ref="C130:F130" si="7">C46/C$81*100</f>
        <v>0.5129190448005676</v>
      </c>
      <c r="D130" s="17">
        <f t="shared" si="7"/>
        <v>0.51903769501325037</v>
      </c>
      <c r="E130" s="17">
        <f t="shared" si="7"/>
        <v>0.51325733510338167</v>
      </c>
      <c r="F130" s="17">
        <f t="shared" si="7"/>
        <v>0.502125173270206</v>
      </c>
    </row>
    <row r="131" spans="1:6" x14ac:dyDescent="0.3">
      <c r="A131" t="str">
        <f>$A$47</f>
        <v>Broadcasting</v>
      </c>
      <c r="B131" s="17">
        <f t="shared" si="6"/>
        <v>0.13574737058374534</v>
      </c>
      <c r="C131" s="17">
        <f t="shared" ref="C131:F131" si="8">C47/C$81*100</f>
        <v>0.14612700064440715</v>
      </c>
      <c r="D131" s="17">
        <f t="shared" si="8"/>
        <v>0.1511603556655523</v>
      </c>
      <c r="E131" s="17">
        <f t="shared" si="8"/>
        <v>0.14933303957122487</v>
      </c>
      <c r="F131" s="17">
        <f t="shared" si="8"/>
        <v>0.14411870549622866</v>
      </c>
    </row>
    <row r="132" spans="1:6" x14ac:dyDescent="0.3">
      <c r="A132" t="str">
        <f>$A$48</f>
        <v>Telecommunications</v>
      </c>
      <c r="B132" s="17">
        <f t="shared" si="6"/>
        <v>0.68489259485936815</v>
      </c>
      <c r="C132" s="17">
        <f t="shared" ref="C132:F132" si="9">C48/C$81*100</f>
        <v>0.6110861768289374</v>
      </c>
      <c r="D132" s="17">
        <f t="shared" si="9"/>
        <v>0.59849936105749568</v>
      </c>
      <c r="E132" s="17">
        <f t="shared" si="9"/>
        <v>0.62180642807068465</v>
      </c>
      <c r="F132" s="17">
        <f t="shared" si="9"/>
        <v>0.64038483707317206</v>
      </c>
    </row>
    <row r="133" spans="1:6" x14ac:dyDescent="0.3">
      <c r="A133" t="str">
        <f>$A$49</f>
        <v>Computing services</v>
      </c>
      <c r="B133" s="17">
        <f t="shared" si="6"/>
        <v>2.2558909821981494</v>
      </c>
      <c r="C133" s="17">
        <f t="shared" ref="C133:F133" si="10">C49/C$81*100</f>
        <v>2.3994100505577829</v>
      </c>
      <c r="D133" s="17">
        <f t="shared" si="10"/>
        <v>2.4563289875629604</v>
      </c>
      <c r="E133" s="17">
        <f t="shared" si="10"/>
        <v>2.5629018322792376</v>
      </c>
      <c r="F133" s="17">
        <f t="shared" si="10"/>
        <v>2.6547258627964645</v>
      </c>
    </row>
    <row r="134" spans="1:6" x14ac:dyDescent="0.3">
      <c r="A134" t="str">
        <f>$A$50</f>
        <v>Information services</v>
      </c>
      <c r="B134" s="17">
        <f t="shared" si="6"/>
        <v>0.32513414561896542</v>
      </c>
      <c r="C134" s="17">
        <f t="shared" ref="C134:F134" si="11">C50/C$81*100</f>
        <v>0.28303273186340711</v>
      </c>
      <c r="D134" s="17">
        <f t="shared" si="11"/>
        <v>0.29785314853117018</v>
      </c>
      <c r="E134" s="17">
        <f t="shared" si="11"/>
        <v>0.31312238357743549</v>
      </c>
      <c r="F134" s="17">
        <f t="shared" si="11"/>
        <v>0.32793171681398559</v>
      </c>
    </row>
    <row r="135" spans="1:6" x14ac:dyDescent="0.3">
      <c r="A135" t="str">
        <f>$A$51</f>
        <v>Financial services</v>
      </c>
      <c r="B135" s="17">
        <f t="shared" si="6"/>
        <v>1.5827305894030876</v>
      </c>
      <c r="C135" s="17">
        <f t="shared" ref="C135:F135" si="12">C51/C$81*100</f>
        <v>1.4654900776887938</v>
      </c>
      <c r="D135" s="17">
        <f t="shared" si="12"/>
        <v>1.4640645357155031</v>
      </c>
      <c r="E135" s="17">
        <f t="shared" si="12"/>
        <v>1.4213642719677131</v>
      </c>
      <c r="F135" s="17">
        <f t="shared" si="12"/>
        <v>1.3334698676160315</v>
      </c>
    </row>
    <row r="136" spans="1:6" x14ac:dyDescent="0.3">
      <c r="A136" t="str">
        <f>$A$52</f>
        <v>Insurance and pensions</v>
      </c>
      <c r="B136" s="17">
        <f t="shared" si="6"/>
        <v>0.36941430976602174</v>
      </c>
      <c r="C136" s="17">
        <f t="shared" ref="C136:F136" si="13">C52/C$81*100</f>
        <v>0.39473057078834456</v>
      </c>
      <c r="D136" s="17">
        <f t="shared" si="13"/>
        <v>0.3964007519015143</v>
      </c>
      <c r="E136" s="17">
        <f t="shared" si="13"/>
        <v>0.38105010647938625</v>
      </c>
      <c r="F136" s="17">
        <f t="shared" si="13"/>
        <v>0.35030458753675414</v>
      </c>
    </row>
    <row r="137" spans="1:6" x14ac:dyDescent="0.3">
      <c r="A137" t="str">
        <f>$A$53</f>
        <v>Auxiliary financial services</v>
      </c>
      <c r="B137" s="17">
        <f t="shared" si="6"/>
        <v>1.4477160452409559</v>
      </c>
      <c r="C137" s="17">
        <f t="shared" ref="C137:F137" si="14">C53/C$81*100</f>
        <v>1.4440587354326786</v>
      </c>
      <c r="D137" s="17">
        <f t="shared" si="14"/>
        <v>1.5058332337813163</v>
      </c>
      <c r="E137" s="17">
        <f t="shared" si="14"/>
        <v>1.4713207860029451</v>
      </c>
      <c r="F137" s="17">
        <f t="shared" si="14"/>
        <v>1.3775857386958124</v>
      </c>
    </row>
    <row r="138" spans="1:6" x14ac:dyDescent="0.3">
      <c r="A138" t="str">
        <f>$A$54</f>
        <v>Real estate</v>
      </c>
      <c r="B138" s="17">
        <f t="shared" si="6"/>
        <v>1.7438093266555563</v>
      </c>
      <c r="C138" s="17">
        <f t="shared" ref="C138:F138" si="15">C54/C$81*100</f>
        <v>1.6954425878304253</v>
      </c>
      <c r="D138" s="17">
        <f t="shared" si="15"/>
        <v>1.8958173062811157</v>
      </c>
      <c r="E138" s="17">
        <f t="shared" si="15"/>
        <v>1.7819980186623334</v>
      </c>
      <c r="F138" s="17">
        <f t="shared" si="15"/>
        <v>1.8642416699096314</v>
      </c>
    </row>
    <row r="139" spans="1:6" x14ac:dyDescent="0.3">
      <c r="A139" t="str">
        <f>$A$55</f>
        <v>Legal and accounting</v>
      </c>
      <c r="B139" s="17">
        <f t="shared" si="6"/>
        <v>2.3390667811140466</v>
      </c>
      <c r="C139" s="17">
        <f t="shared" ref="C139:F139" si="16">C55/C$81*100</f>
        <v>2.5377191623330528</v>
      </c>
      <c r="D139" s="17">
        <f t="shared" si="16"/>
        <v>2.4459035580336419</v>
      </c>
      <c r="E139" s="17">
        <f t="shared" si="16"/>
        <v>2.4985735536204712</v>
      </c>
      <c r="F139" s="17">
        <f t="shared" si="16"/>
        <v>2.5264193980798568</v>
      </c>
    </row>
    <row r="140" spans="1:6" x14ac:dyDescent="0.3">
      <c r="A140" t="str">
        <f>$A$56</f>
        <v>Head offices, etc</v>
      </c>
      <c r="B140" s="17">
        <f t="shared" si="6"/>
        <v>2.6872535521789729</v>
      </c>
      <c r="C140" s="17">
        <f t="shared" ref="C140:F140" si="17">C56/C$81*100</f>
        <v>2.6455411554232247</v>
      </c>
      <c r="D140" s="17">
        <f t="shared" si="17"/>
        <v>2.696254524606744</v>
      </c>
      <c r="E140" s="17">
        <f t="shared" si="17"/>
        <v>2.710654628053955</v>
      </c>
      <c r="F140" s="17">
        <f t="shared" si="17"/>
        <v>2.6944014596139554</v>
      </c>
    </row>
    <row r="141" spans="1:6" x14ac:dyDescent="0.3">
      <c r="A141" t="str">
        <f>$A$57</f>
        <v>Architectural and related</v>
      </c>
      <c r="B141" s="17">
        <f t="shared" si="6"/>
        <v>1.7122873215350713</v>
      </c>
      <c r="C141" s="17">
        <f t="shared" ref="C141:F141" si="18">C57/C$81*100</f>
        <v>1.8500825478808891</v>
      </c>
      <c r="D141" s="17">
        <f t="shared" si="18"/>
        <v>1.9024985564854726</v>
      </c>
      <c r="E141" s="17">
        <f t="shared" si="18"/>
        <v>1.8185062027016652</v>
      </c>
      <c r="F141" s="17">
        <f t="shared" si="18"/>
        <v>1.8102692630387169</v>
      </c>
    </row>
    <row r="142" spans="1:6" x14ac:dyDescent="0.3">
      <c r="A142" t="str">
        <f>$A$58</f>
        <v>Scientific research and development</v>
      </c>
      <c r="B142" s="17">
        <f t="shared" si="6"/>
        <v>0.50479875678851738</v>
      </c>
      <c r="C142" s="17">
        <f t="shared" ref="C142:F142" si="19">C58/C$81*100</f>
        <v>0.5486622208580294</v>
      </c>
      <c r="D142" s="17">
        <f t="shared" si="19"/>
        <v>0.5021654451037324</v>
      </c>
      <c r="E142" s="17">
        <f t="shared" si="19"/>
        <v>0.54238129344970809</v>
      </c>
      <c r="F142" s="17">
        <f t="shared" si="19"/>
        <v>0.58791227003541169</v>
      </c>
    </row>
    <row r="143" spans="1:6" x14ac:dyDescent="0.3">
      <c r="A143" t="str">
        <f>$A$59</f>
        <v>Advertising, etc</v>
      </c>
      <c r="B143" s="17">
        <f t="shared" si="6"/>
        <v>0.89363645638625233</v>
      </c>
      <c r="C143" s="17">
        <f t="shared" ref="C143:F143" si="20">C59/C$81*100</f>
        <v>0.78327170373168242</v>
      </c>
      <c r="D143" s="17">
        <f t="shared" si="20"/>
        <v>0.74024568447264039</v>
      </c>
      <c r="E143" s="17">
        <f t="shared" si="20"/>
        <v>0.80702335783948165</v>
      </c>
      <c r="F143" s="17">
        <f t="shared" si="20"/>
        <v>0.86185598912881678</v>
      </c>
    </row>
    <row r="144" spans="1:6" x14ac:dyDescent="0.3">
      <c r="A144" t="str">
        <f>$A$60</f>
        <v>Other professional</v>
      </c>
      <c r="B144" s="17">
        <f t="shared" si="6"/>
        <v>0.72426980128113483</v>
      </c>
      <c r="C144" s="17">
        <f t="shared" ref="C144:F144" si="21">C60/C$81*100</f>
        <v>0.82330776797127336</v>
      </c>
      <c r="D144" s="17">
        <f t="shared" si="21"/>
        <v>0.78211820146199662</v>
      </c>
      <c r="E144" s="17">
        <f t="shared" si="21"/>
        <v>0.84694564885870671</v>
      </c>
      <c r="F144" s="17">
        <f t="shared" si="21"/>
        <v>0.91052127043268172</v>
      </c>
    </row>
    <row r="145" spans="1:6" x14ac:dyDescent="0.3">
      <c r="A145" t="str">
        <f>$A$61</f>
        <v>Veterinary</v>
      </c>
      <c r="B145" s="17">
        <f t="shared" si="6"/>
        <v>0.23945277826553316</v>
      </c>
      <c r="C145" s="17">
        <f t="shared" ref="C145:F145" si="22">C61/C$81*100</f>
        <v>0.34961387174699926</v>
      </c>
      <c r="D145" s="17">
        <f t="shared" si="22"/>
        <v>0.3320028770598672</v>
      </c>
      <c r="E145" s="17">
        <f t="shared" si="22"/>
        <v>0.3638852771593088</v>
      </c>
      <c r="F145" s="17">
        <f t="shared" si="22"/>
        <v>0.40224394748451286</v>
      </c>
    </row>
    <row r="146" spans="1:6" x14ac:dyDescent="0.3">
      <c r="A146" t="str">
        <f>$A$62</f>
        <v>Rental and leasing</v>
      </c>
      <c r="B146" s="17">
        <f t="shared" si="6"/>
        <v>0.51275864759710077</v>
      </c>
      <c r="C146" s="17">
        <f t="shared" ref="C146:F146" si="23">C62/C$81*100</f>
        <v>0.47686474191732814</v>
      </c>
      <c r="D146" s="17">
        <f t="shared" si="23"/>
        <v>0.45621050003873415</v>
      </c>
      <c r="E146" s="17">
        <f t="shared" si="23"/>
        <v>0.46990467943687558</v>
      </c>
      <c r="F146" s="17">
        <f t="shared" si="23"/>
        <v>0.48350969755645307</v>
      </c>
    </row>
    <row r="147" spans="1:6" x14ac:dyDescent="0.3">
      <c r="A147" t="str">
        <f>$A$63</f>
        <v>Employment activities</v>
      </c>
      <c r="B147" s="17">
        <f t="shared" si="6"/>
        <v>3.1995515660858285</v>
      </c>
      <c r="C147" s="17">
        <f t="shared" ref="C147:F147" si="24">C63/C$81*100</f>
        <v>3.0795101142858305</v>
      </c>
      <c r="D147" s="17">
        <f t="shared" si="24"/>
        <v>2.9288558039191854</v>
      </c>
      <c r="E147" s="17">
        <f t="shared" si="24"/>
        <v>3.0172934598743439</v>
      </c>
      <c r="F147" s="17">
        <f t="shared" si="24"/>
        <v>3.0982512647076335</v>
      </c>
    </row>
    <row r="148" spans="1:6" x14ac:dyDescent="0.3">
      <c r="A148" t="str">
        <f>$A$64</f>
        <v>Travel, etc</v>
      </c>
      <c r="B148" s="17">
        <f t="shared" si="6"/>
        <v>0.29712621769874609</v>
      </c>
      <c r="C148" s="17">
        <f t="shared" ref="C148:F148" si="25">C64/C$81*100</f>
        <v>0.30116414389386498</v>
      </c>
      <c r="D148" s="17">
        <f t="shared" si="25"/>
        <v>0.28573982421175798</v>
      </c>
      <c r="E148" s="17">
        <f t="shared" si="25"/>
        <v>0.29323602326555964</v>
      </c>
      <c r="F148" s="17">
        <f t="shared" si="25"/>
        <v>0.30131501653607762</v>
      </c>
    </row>
    <row r="149" spans="1:6" x14ac:dyDescent="0.3">
      <c r="A149" t="str">
        <f>$A$65</f>
        <v>Security, etc</v>
      </c>
      <c r="B149" s="17">
        <f t="shared" si="6"/>
        <v>0.6156335186758114</v>
      </c>
      <c r="C149" s="17">
        <f t="shared" ref="C149:F149" si="26">C65/C$81*100</f>
        <v>0.64955667738061285</v>
      </c>
      <c r="D149" s="17">
        <f t="shared" si="26"/>
        <v>0.62217007609794295</v>
      </c>
      <c r="E149" s="17">
        <f t="shared" si="26"/>
        <v>0.6396800910259125</v>
      </c>
      <c r="F149" s="17">
        <f t="shared" si="26"/>
        <v>0.65652760386671971</v>
      </c>
    </row>
    <row r="150" spans="1:6" x14ac:dyDescent="0.3">
      <c r="A150" t="str">
        <f>$A$66</f>
        <v>Services to buildings</v>
      </c>
      <c r="B150" s="17">
        <f t="shared" si="6"/>
        <v>2.5928934262613375</v>
      </c>
      <c r="C150" s="17">
        <f t="shared" ref="C150:F150" si="27">C66/C$81*100</f>
        <v>2.5631024772490036</v>
      </c>
      <c r="D150" s="17">
        <f t="shared" si="27"/>
        <v>2.4349657318860265</v>
      </c>
      <c r="E150" s="17">
        <f t="shared" si="27"/>
        <v>2.4981801184166645</v>
      </c>
      <c r="F150" s="17">
        <f t="shared" si="27"/>
        <v>2.5512182051468564</v>
      </c>
    </row>
    <row r="151" spans="1:6" x14ac:dyDescent="0.3">
      <c r="A151" t="str">
        <f>$A$67</f>
        <v>Office administrative</v>
      </c>
      <c r="B151" s="17">
        <f t="shared" si="6"/>
        <v>1.5071587370524557</v>
      </c>
      <c r="C151" s="17">
        <f t="shared" ref="C151:F151" si="28">C67/C$81*100</f>
        <v>1.6656637791532314</v>
      </c>
      <c r="D151" s="17">
        <f t="shared" si="28"/>
        <v>1.5884228635925639</v>
      </c>
      <c r="E151" s="17">
        <f t="shared" si="28"/>
        <v>1.6345411121619116</v>
      </c>
      <c r="F151" s="17">
        <f t="shared" si="28"/>
        <v>1.6789132279037107</v>
      </c>
    </row>
    <row r="152" spans="1:6" x14ac:dyDescent="0.3">
      <c r="A152" t="str">
        <f>$A$68</f>
        <v>Public administration and defence</v>
      </c>
      <c r="B152" s="17">
        <f t="shared" si="6"/>
        <v>3.6666062724360793</v>
      </c>
      <c r="C152" s="17">
        <f t="shared" ref="C152:F152" si="29">C68/C$81*100</f>
        <v>3.5207342857598709</v>
      </c>
      <c r="D152" s="17">
        <f t="shared" si="29"/>
        <v>3.7054414613363376</v>
      </c>
      <c r="E152" s="17">
        <f t="shared" si="29"/>
        <v>3.6923502023214088</v>
      </c>
      <c r="F152" s="17">
        <f t="shared" si="29"/>
        <v>3.610990689123192</v>
      </c>
    </row>
    <row r="153" spans="1:6" x14ac:dyDescent="0.3">
      <c r="A153" t="str">
        <f>$A$69</f>
        <v xml:space="preserve">Education </v>
      </c>
      <c r="B153" s="17">
        <f t="shared" si="6"/>
        <v>8.8194473427335183</v>
      </c>
      <c r="C153" s="17">
        <f t="shared" ref="C153:F153" si="30">C69/C$81*100</f>
        <v>8.3534208724649073</v>
      </c>
      <c r="D153" s="17">
        <f t="shared" si="30"/>
        <v>8.4789251432734964</v>
      </c>
      <c r="E153" s="17">
        <f t="shared" si="30"/>
        <v>8.2696954624179035</v>
      </c>
      <c r="F153" s="17">
        <f t="shared" si="30"/>
        <v>8.2108685006024356</v>
      </c>
    </row>
    <row r="154" spans="1:6" x14ac:dyDescent="0.3">
      <c r="A154" t="str">
        <f>$A$70</f>
        <v>Health</v>
      </c>
      <c r="B154" s="17">
        <f t="shared" si="6"/>
        <v>6.8263025500223966</v>
      </c>
      <c r="C154" s="17">
        <f t="shared" ref="C154:F154" si="31">C70/C$81*100</f>
        <v>7.111048444363453</v>
      </c>
      <c r="D154" s="17">
        <f t="shared" si="31"/>
        <v>7.4114120643015831</v>
      </c>
      <c r="E154" s="17">
        <f t="shared" si="31"/>
        <v>7.6525744902218955</v>
      </c>
      <c r="F154" s="17">
        <f t="shared" si="31"/>
        <v>7.8149544383876242</v>
      </c>
    </row>
    <row r="155" spans="1:6" x14ac:dyDescent="0.3">
      <c r="A155" t="str">
        <f>$A$71</f>
        <v>Residential care</v>
      </c>
      <c r="B155" s="17">
        <f t="shared" ref="B155:F155" si="32">B71/B$81*100</f>
        <v>2.3469045341787229</v>
      </c>
      <c r="C155" s="17">
        <f t="shared" si="32"/>
        <v>2.2270226222036484</v>
      </c>
      <c r="D155" s="17">
        <f t="shared" si="32"/>
        <v>2.1300763393927147</v>
      </c>
      <c r="E155" s="17">
        <f t="shared" si="32"/>
        <v>2.2184607072474805</v>
      </c>
      <c r="F155" s="17">
        <f t="shared" si="32"/>
        <v>2.2957683531323188</v>
      </c>
    </row>
    <row r="156" spans="1:6" x14ac:dyDescent="0.3">
      <c r="A156" t="str">
        <f>$A$72</f>
        <v>Social work</v>
      </c>
      <c r="B156" s="17">
        <f t="shared" ref="B156:F156" si="33">B72/B$81*100</f>
        <v>2.94027408820391</v>
      </c>
      <c r="C156" s="17">
        <f t="shared" si="33"/>
        <v>2.8040536514699452</v>
      </c>
      <c r="D156" s="17">
        <f t="shared" si="33"/>
        <v>2.6757954982797116</v>
      </c>
      <c r="E156" s="17">
        <f t="shared" si="33"/>
        <v>2.7553534172694363</v>
      </c>
      <c r="F156" s="17">
        <f t="shared" si="33"/>
        <v>2.7986075873587288</v>
      </c>
    </row>
    <row r="157" spans="1:6" x14ac:dyDescent="0.3">
      <c r="A157" t="str">
        <f>$A$73</f>
        <v>Arts and entertainment</v>
      </c>
      <c r="B157" s="17">
        <f t="shared" ref="B157:F157" si="34">B73/B$81*100</f>
        <v>0.52629499851371087</v>
      </c>
      <c r="C157" s="17">
        <f t="shared" si="34"/>
        <v>0.57166905638611543</v>
      </c>
      <c r="D157" s="17">
        <f t="shared" si="34"/>
        <v>0.61545533591184964</v>
      </c>
      <c r="E157" s="17">
        <f t="shared" si="34"/>
        <v>0.56844556165386695</v>
      </c>
      <c r="F157" s="17">
        <f t="shared" si="34"/>
        <v>0.569390339437578</v>
      </c>
    </row>
    <row r="158" spans="1:6" x14ac:dyDescent="0.3">
      <c r="A158" t="str">
        <f>$A$74</f>
        <v>Libraries, etc</v>
      </c>
      <c r="B158" s="17">
        <f t="shared" ref="B158:F158" si="35">B74/B$81*100</f>
        <v>0.56250360306812619</v>
      </c>
      <c r="C158" s="17">
        <f t="shared" si="35"/>
        <v>0.50863277635139803</v>
      </c>
      <c r="D158" s="17">
        <f t="shared" si="35"/>
        <v>0.55990886171921039</v>
      </c>
      <c r="E158" s="17">
        <f t="shared" si="35"/>
        <v>0.51050979186277423</v>
      </c>
      <c r="F158" s="17">
        <f t="shared" si="35"/>
        <v>0.51539298719827575</v>
      </c>
    </row>
    <row r="159" spans="1:6" x14ac:dyDescent="0.3">
      <c r="A159" t="str">
        <f>$A$75</f>
        <v>Gambling and betting</v>
      </c>
      <c r="B159" s="17">
        <f t="shared" ref="B159:F159" si="36">B75/B$81*100</f>
        <v>0.33549840502139511</v>
      </c>
      <c r="C159" s="17">
        <f t="shared" si="36"/>
        <v>0.29231357876642683</v>
      </c>
      <c r="D159" s="17">
        <f t="shared" si="36"/>
        <v>0.28358976775461853</v>
      </c>
      <c r="E159" s="17">
        <f t="shared" si="36"/>
        <v>0.29706632615207523</v>
      </c>
      <c r="F159" s="17">
        <f t="shared" si="36"/>
        <v>0.31502872879501598</v>
      </c>
    </row>
    <row r="160" spans="1:6" x14ac:dyDescent="0.3">
      <c r="A160" t="str">
        <f>$A$76</f>
        <v>Sport and recreation</v>
      </c>
      <c r="B160" s="17">
        <f t="shared" ref="B160:F160" si="37">B76/B$81*100</f>
        <v>1.4919578232636432</v>
      </c>
      <c r="C160" s="17">
        <f t="shared" si="37"/>
        <v>1.4828403628159192</v>
      </c>
      <c r="D160" s="17">
        <f t="shared" si="37"/>
        <v>1.4370515210828017</v>
      </c>
      <c r="E160" s="17">
        <f t="shared" si="37"/>
        <v>1.5035629620682471</v>
      </c>
      <c r="F160" s="17">
        <f t="shared" si="37"/>
        <v>1.5860697121300626</v>
      </c>
    </row>
    <row r="161" spans="1:6" x14ac:dyDescent="0.3">
      <c r="A161" t="str">
        <f>$A$77</f>
        <v>Membership organisations</v>
      </c>
      <c r="B161" s="17">
        <f t="shared" ref="B161:F161" si="38">B77/B$81*100</f>
        <v>1.2692169770540784</v>
      </c>
      <c r="C161" s="17">
        <f t="shared" si="38"/>
        <v>1.1941808692689742</v>
      </c>
      <c r="D161" s="17">
        <f t="shared" si="38"/>
        <v>1.1436759823341887</v>
      </c>
      <c r="E161" s="17">
        <f t="shared" si="38"/>
        <v>1.1045221375318424</v>
      </c>
      <c r="F161" s="17">
        <f t="shared" si="38"/>
        <v>1.0647865015500906</v>
      </c>
    </row>
    <row r="162" spans="1:6" x14ac:dyDescent="0.3">
      <c r="A162" t="str">
        <f>$A$78</f>
        <v>Repair of goods</v>
      </c>
      <c r="B162" s="17">
        <f t="shared" ref="B162:F162" si="39">B78/B$81*100</f>
        <v>0.21567430569618962</v>
      </c>
      <c r="C162" s="17">
        <f t="shared" si="39"/>
        <v>0.21476356347507067</v>
      </c>
      <c r="D162" s="17">
        <f t="shared" si="39"/>
        <v>0.24966107306965296</v>
      </c>
      <c r="E162" s="17">
        <f t="shared" si="39"/>
        <v>0.24642048766173921</v>
      </c>
      <c r="F162" s="17">
        <f t="shared" si="39"/>
        <v>0.24425562122734984</v>
      </c>
    </row>
    <row r="163" spans="1:6" x14ac:dyDescent="0.3">
      <c r="A163" t="str">
        <f>$A$79</f>
        <v>Other personal service</v>
      </c>
      <c r="B163" s="17">
        <f>B79/B$81*100</f>
        <v>1.43045274855501</v>
      </c>
      <c r="C163" s="17">
        <f t="shared" ref="C163:F163" si="40">C79/C$81*100</f>
        <v>1.4511683143296024</v>
      </c>
      <c r="D163" s="17">
        <f t="shared" si="40"/>
        <v>1.4744363812831685</v>
      </c>
      <c r="E163" s="17">
        <f t="shared" si="40"/>
        <v>1.4110601719273919</v>
      </c>
      <c r="F163" s="17">
        <f t="shared" si="40"/>
        <v>1.3603734395414862</v>
      </c>
    </row>
    <row r="164" spans="1:6" x14ac:dyDescent="0.3">
      <c r="B164" s="17"/>
      <c r="C164" s="17"/>
      <c r="D164" s="17"/>
      <c r="E164" s="17"/>
      <c r="F164" s="17"/>
    </row>
    <row r="165" spans="1:6" x14ac:dyDescent="0.3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3">
      <c r="B166" s="17"/>
      <c r="C166" s="17"/>
      <c r="D166" s="17"/>
      <c r="E166" s="17"/>
      <c r="F166" s="17"/>
    </row>
    <row r="167" spans="1:6" x14ac:dyDescent="0.3">
      <c r="B167" s="17"/>
      <c r="C167" s="17"/>
      <c r="D167" s="17"/>
      <c r="E167" s="17"/>
      <c r="F167" s="17"/>
    </row>
    <row r="168" spans="1:6" x14ac:dyDescent="0.3">
      <c r="B168" s="17"/>
      <c r="C168" s="17"/>
      <c r="D168" s="17"/>
      <c r="E168" s="17"/>
      <c r="F168" s="17"/>
    </row>
    <row r="169" spans="1:6" ht="15.45" x14ac:dyDescent="0.4">
      <c r="A169" s="18" t="str">
        <f>CONCATENATE($A$1," (Continued)")</f>
        <v>Industry Table 3  Employment by Industry (SIC 2007), 2015-2035, England (Continued)</v>
      </c>
      <c r="B169" s="17"/>
      <c r="C169" s="17"/>
      <c r="D169" s="17"/>
      <c r="E169" s="17"/>
      <c r="F169" s="17"/>
    </row>
    <row r="171" spans="1:6" x14ac:dyDescent="0.3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3">
      <c r="A172" s="27" t="s">
        <v>14</v>
      </c>
    </row>
    <row r="173" spans="1:6" x14ac:dyDescent="0.3">
      <c r="A173" t="str">
        <f>$A$5</f>
        <v>Agriculture, etc</v>
      </c>
      <c r="B173" s="17">
        <f t="shared" ref="B173:E192" si="41">IF(AND(C$3-B$3 &lt;&gt; 0,B5&lt;&gt;0,C5&lt;&gt;0),(EXP(LN(C5/B5)/(C$3-B$3))-1)*100,0)</f>
        <v>0.7283998579951545</v>
      </c>
      <c r="C173" s="17">
        <f t="shared" si="41"/>
        <v>-11.356097056927039</v>
      </c>
      <c r="D173" s="17">
        <f t="shared" si="41"/>
        <v>0.59400095114181539</v>
      </c>
      <c r="E173" s="17">
        <f t="shared" si="41"/>
        <v>9.0799349647752159E-2</v>
      </c>
      <c r="F173" s="17">
        <f>IF(AND(F$3-D$3 &lt;&gt; 0,D5&lt;&gt;0,F5&lt;&gt;0),(EXP(LN(F5/D5)/(F$3-D$3))-1)*100,0)</f>
        <v>0.25825290801375633</v>
      </c>
    </row>
    <row r="174" spans="1:6" x14ac:dyDescent="0.3">
      <c r="A174" t="str">
        <f>$A$6</f>
        <v>Coal, oil &amp; gas; Mining &amp; related</v>
      </c>
      <c r="B174" s="17">
        <f t="shared" si="41"/>
        <v>-5.760149536916237</v>
      </c>
      <c r="C174" s="17">
        <f t="shared" si="41"/>
        <v>2.2190706599695575</v>
      </c>
      <c r="D174" s="17">
        <f t="shared" si="41"/>
        <v>-4.2254460829095901</v>
      </c>
      <c r="E174" s="17">
        <f t="shared" si="41"/>
        <v>-2.9102210176553123</v>
      </c>
      <c r="F174" s="17">
        <f t="shared" ref="F174:F237" si="42">IF(AND(F$3-D$3 &lt;&gt; 0,D6&lt;&gt;0,F6&lt;&gt;0),(EXP(LN(F6/D6)/(F$3-D$3))-1)*100,0)</f>
        <v>-3.3506240374687857</v>
      </c>
    </row>
    <row r="175" spans="1:6" x14ac:dyDescent="0.3">
      <c r="A175" t="str">
        <f>$A$7</f>
        <v>Food products</v>
      </c>
      <c r="B175" s="17">
        <f t="shared" si="41"/>
        <v>1.6218478994676433</v>
      </c>
      <c r="C175" s="17">
        <f t="shared" si="41"/>
        <v>-0.160443231944285</v>
      </c>
      <c r="D175" s="17">
        <f t="shared" si="41"/>
        <v>0.25676277599864239</v>
      </c>
      <c r="E175" s="17">
        <f t="shared" si="41"/>
        <v>-0.25648915566356401</v>
      </c>
      <c r="F175" s="17">
        <f t="shared" si="42"/>
        <v>-8.5697792354988422E-2</v>
      </c>
    </row>
    <row r="176" spans="1:6" x14ac:dyDescent="0.3">
      <c r="A176" t="str">
        <f>$A$8</f>
        <v>Beverages and tobacco</v>
      </c>
      <c r="B176" s="17">
        <f t="shared" si="41"/>
        <v>5.7827885564273318</v>
      </c>
      <c r="C176" s="17">
        <f t="shared" si="41"/>
        <v>4.1710052654691632</v>
      </c>
      <c r="D176" s="17">
        <f t="shared" si="41"/>
        <v>0.12250399998989803</v>
      </c>
      <c r="E176" s="17">
        <f t="shared" si="41"/>
        <v>-0.34156347452636293</v>
      </c>
      <c r="F176" s="17">
        <f t="shared" si="42"/>
        <v>-0.18711380459666138</v>
      </c>
    </row>
    <row r="177" spans="1:6" x14ac:dyDescent="0.3">
      <c r="A177" t="str">
        <f>$A$9</f>
        <v>Textiles</v>
      </c>
      <c r="B177" s="17">
        <f t="shared" si="41"/>
        <v>2.1672876885974635</v>
      </c>
      <c r="C177" s="17">
        <f t="shared" si="41"/>
        <v>5.4447269284714883</v>
      </c>
      <c r="D177" s="17">
        <f t="shared" si="41"/>
        <v>-2.4318317463210892</v>
      </c>
      <c r="E177" s="17">
        <f t="shared" si="41"/>
        <v>-1.5477332582692571</v>
      </c>
      <c r="F177" s="17">
        <f t="shared" si="42"/>
        <v>-1.8433193126104475</v>
      </c>
    </row>
    <row r="178" spans="1:6" x14ac:dyDescent="0.3">
      <c r="A178" t="str">
        <f>$A$10</f>
        <v>Wearing apparel; Leather, etc</v>
      </c>
      <c r="B178" s="17">
        <f t="shared" si="41"/>
        <v>-2.1655307493102849</v>
      </c>
      <c r="C178" s="17">
        <f t="shared" si="41"/>
        <v>11.086314555126563</v>
      </c>
      <c r="D178" s="17">
        <f t="shared" si="41"/>
        <v>-2.4114689139368428</v>
      </c>
      <c r="E178" s="17">
        <f t="shared" si="41"/>
        <v>-1.4656076463176237</v>
      </c>
      <c r="F178" s="17">
        <f t="shared" si="42"/>
        <v>-1.7819089955128598</v>
      </c>
    </row>
    <row r="179" spans="1:6" x14ac:dyDescent="0.3">
      <c r="A179" t="str">
        <f>$A$11</f>
        <v xml:space="preserve">Wood and cork </v>
      </c>
      <c r="B179" s="17">
        <f t="shared" si="41"/>
        <v>2.7909435507667446</v>
      </c>
      <c r="C179" s="17">
        <f t="shared" si="41"/>
        <v>3.5501201367195367</v>
      </c>
      <c r="D179" s="17">
        <f t="shared" si="41"/>
        <v>-9.5081042997346987E-2</v>
      </c>
      <c r="E179" s="17">
        <f t="shared" si="41"/>
        <v>-0.37917151683017902</v>
      </c>
      <c r="F179" s="17">
        <f t="shared" si="42"/>
        <v>-0.28456456607995895</v>
      </c>
    </row>
    <row r="180" spans="1:6" x14ac:dyDescent="0.3">
      <c r="A180" t="str">
        <f>$A$12</f>
        <v>Paper, etc</v>
      </c>
      <c r="B180" s="17">
        <f t="shared" si="41"/>
        <v>-4.013150214895278</v>
      </c>
      <c r="C180" s="17">
        <f t="shared" si="41"/>
        <v>-11.139729555504207</v>
      </c>
      <c r="D180" s="17">
        <f t="shared" si="41"/>
        <v>-5.029210627469638E-2</v>
      </c>
      <c r="E180" s="17">
        <f t="shared" si="41"/>
        <v>-0.36605463651997461</v>
      </c>
      <c r="F180" s="17">
        <f t="shared" si="42"/>
        <v>-0.26091145585017683</v>
      </c>
    </row>
    <row r="181" spans="1:6" x14ac:dyDescent="0.3">
      <c r="A181" t="str">
        <f>$A$13</f>
        <v>Printing and recording</v>
      </c>
      <c r="B181" s="17">
        <f t="shared" si="41"/>
        <v>-5.9521679554330404</v>
      </c>
      <c r="C181" s="17">
        <f t="shared" si="41"/>
        <v>-4.8903720064714999</v>
      </c>
      <c r="D181" s="17">
        <f t="shared" si="41"/>
        <v>-1.5272115198940561</v>
      </c>
      <c r="E181" s="17">
        <f t="shared" si="41"/>
        <v>-1.6646358447629517</v>
      </c>
      <c r="F181" s="17">
        <f t="shared" si="42"/>
        <v>-1.6188490589665094</v>
      </c>
    </row>
    <row r="182" spans="1:6" x14ac:dyDescent="0.3">
      <c r="A182" t="str">
        <f>$A$14</f>
        <v>Coke and petroleum; Chemicals, etc</v>
      </c>
      <c r="B182" s="17">
        <f t="shared" si="41"/>
        <v>2.5281349350543492</v>
      </c>
      <c r="C182" s="17">
        <f t="shared" si="41"/>
        <v>-2.3437178907951051</v>
      </c>
      <c r="D182" s="17">
        <f t="shared" si="41"/>
        <v>-1.1877792762547301</v>
      </c>
      <c r="E182" s="17">
        <f t="shared" si="41"/>
        <v>-0.91149697474036673</v>
      </c>
      <c r="F182" s="17">
        <f t="shared" si="42"/>
        <v>-1.0036768014929698</v>
      </c>
    </row>
    <row r="183" spans="1:6" x14ac:dyDescent="0.3">
      <c r="A183" t="str">
        <f>$A$15</f>
        <v>Pharmaceuticals</v>
      </c>
      <c r="B183" s="17">
        <f t="shared" si="41"/>
        <v>3.0407328171288661</v>
      </c>
      <c r="C183" s="17">
        <f t="shared" si="41"/>
        <v>4.9511366877745155</v>
      </c>
      <c r="D183" s="17">
        <f t="shared" si="41"/>
        <v>1.566469918679303</v>
      </c>
      <c r="E183" s="17">
        <f t="shared" si="41"/>
        <v>-0.31123123222052129</v>
      </c>
      <c r="F183" s="17">
        <f t="shared" si="42"/>
        <v>0.3107800203641764</v>
      </c>
    </row>
    <row r="184" spans="1:6" x14ac:dyDescent="0.3">
      <c r="A184" t="str">
        <f>$A$16</f>
        <v>Rubber and plastic</v>
      </c>
      <c r="B184" s="17">
        <f t="shared" si="41"/>
        <v>-1.4859672917853839</v>
      </c>
      <c r="C184" s="17">
        <f t="shared" si="41"/>
        <v>6.4582852958688264</v>
      </c>
      <c r="D184" s="17">
        <f t="shared" si="41"/>
        <v>-0.31875998974627562</v>
      </c>
      <c r="E184" s="17">
        <f t="shared" si="41"/>
        <v>-1.146359810466735</v>
      </c>
      <c r="F184" s="17">
        <f t="shared" si="42"/>
        <v>-0.87125949187001339</v>
      </c>
    </row>
    <row r="185" spans="1:6" x14ac:dyDescent="0.3">
      <c r="A185" t="str">
        <f>$A$17</f>
        <v>Other non-metallic</v>
      </c>
      <c r="B185" s="17">
        <f t="shared" si="41"/>
        <v>2.5019358245450096</v>
      </c>
      <c r="C185" s="17">
        <f t="shared" si="41"/>
        <v>1.2186591068505725</v>
      </c>
      <c r="D185" s="17">
        <f t="shared" si="41"/>
        <v>-0.34255909393660078</v>
      </c>
      <c r="E185" s="17">
        <f t="shared" si="41"/>
        <v>-1.1665182845682409</v>
      </c>
      <c r="F185" s="17">
        <f t="shared" si="42"/>
        <v>-0.89262495197857117</v>
      </c>
    </row>
    <row r="186" spans="1:6" x14ac:dyDescent="0.3">
      <c r="A186" t="str">
        <f>$A$18</f>
        <v>Basic metals</v>
      </c>
      <c r="B186" s="17">
        <f t="shared" si="41"/>
        <v>1.8076430459290194</v>
      </c>
      <c r="C186" s="17">
        <f t="shared" si="41"/>
        <v>-15.859914846048962</v>
      </c>
      <c r="D186" s="17">
        <f t="shared" si="41"/>
        <v>-0.54214986228019457</v>
      </c>
      <c r="E186" s="17">
        <f t="shared" si="41"/>
        <v>-1.2773439174363799</v>
      </c>
      <c r="F186" s="17">
        <f t="shared" si="42"/>
        <v>-1.0328850655236255</v>
      </c>
    </row>
    <row r="187" spans="1:6" x14ac:dyDescent="0.3">
      <c r="A187" t="str">
        <f>$A$19</f>
        <v>Metal products</v>
      </c>
      <c r="B187" s="17">
        <f t="shared" si="41"/>
        <v>-0.80578812341794981</v>
      </c>
      <c r="C187" s="17">
        <f t="shared" si="41"/>
        <v>-12.3489660266071</v>
      </c>
      <c r="D187" s="17">
        <f t="shared" si="41"/>
        <v>-0.59052182967332945</v>
      </c>
      <c r="E187" s="17">
        <f t="shared" si="41"/>
        <v>-1.2976452746975675</v>
      </c>
      <c r="F187" s="17">
        <f t="shared" si="42"/>
        <v>-1.0624981159890301</v>
      </c>
    </row>
    <row r="188" spans="1:6" x14ac:dyDescent="0.3">
      <c r="A188" t="str">
        <f>$A$20</f>
        <v>Computer, etc</v>
      </c>
      <c r="B188" s="17">
        <f t="shared" si="41"/>
        <v>0.50487350060248737</v>
      </c>
      <c r="C188" s="17">
        <f t="shared" si="41"/>
        <v>3.914768083926834</v>
      </c>
      <c r="D188" s="17">
        <f t="shared" si="41"/>
        <v>0.75073235008988881</v>
      </c>
      <c r="E188" s="17">
        <f t="shared" si="41"/>
        <v>-1.593371901313545</v>
      </c>
      <c r="F188" s="17">
        <f t="shared" si="42"/>
        <v>-0.8181272115606486</v>
      </c>
    </row>
    <row r="189" spans="1:6" x14ac:dyDescent="0.3">
      <c r="A189" t="str">
        <f>$A$21</f>
        <v>Electrical equipment</v>
      </c>
      <c r="B189" s="17">
        <f t="shared" si="41"/>
        <v>-2.333933260439025</v>
      </c>
      <c r="C189" s="17">
        <f t="shared" si="41"/>
        <v>-11.205117022892097</v>
      </c>
      <c r="D189" s="17">
        <f t="shared" si="41"/>
        <v>-0.47066823963833881</v>
      </c>
      <c r="E189" s="17">
        <f t="shared" si="41"/>
        <v>-0.47133615337082713</v>
      </c>
      <c r="F189" s="17">
        <f t="shared" si="42"/>
        <v>-0.47111351595801043</v>
      </c>
    </row>
    <row r="190" spans="1:6" x14ac:dyDescent="0.3">
      <c r="A190" t="str">
        <f>$A$22</f>
        <v>Machinery n.e.c.</v>
      </c>
      <c r="B190" s="17">
        <f t="shared" si="41"/>
        <v>1.9102113751396921</v>
      </c>
      <c r="C190" s="17">
        <f t="shared" si="41"/>
        <v>-7.2334202177867679</v>
      </c>
      <c r="D190" s="17">
        <f t="shared" si="41"/>
        <v>0.47603210016358144</v>
      </c>
      <c r="E190" s="17">
        <f t="shared" si="41"/>
        <v>-1.3165718843298424</v>
      </c>
      <c r="F190" s="17">
        <f t="shared" si="42"/>
        <v>-0.72261925778687175</v>
      </c>
    </row>
    <row r="191" spans="1:6" x14ac:dyDescent="0.3">
      <c r="A191" t="str">
        <f>$A$23</f>
        <v>Motor vehicles, etc</v>
      </c>
      <c r="B191" s="17">
        <f t="shared" si="41"/>
        <v>2.3260633756317928</v>
      </c>
      <c r="C191" s="17">
        <f t="shared" si="41"/>
        <v>-12.330720844938215</v>
      </c>
      <c r="D191" s="17">
        <f t="shared" si="41"/>
        <v>-0.11136227657394526</v>
      </c>
      <c r="E191" s="17">
        <f t="shared" si="41"/>
        <v>-0.7605874036859861</v>
      </c>
      <c r="F191" s="17">
        <f t="shared" si="42"/>
        <v>-0.54464923545293198</v>
      </c>
    </row>
    <row r="192" spans="1:6" x14ac:dyDescent="0.3">
      <c r="A192" t="str">
        <f>$A$24</f>
        <v>Other transport equipment</v>
      </c>
      <c r="B192" s="17">
        <f t="shared" si="41"/>
        <v>1.2206442102624226</v>
      </c>
      <c r="C192" s="17">
        <f t="shared" si="41"/>
        <v>0.21202357290950324</v>
      </c>
      <c r="D192" s="17">
        <f t="shared" si="41"/>
        <v>-3.0086083678808051</v>
      </c>
      <c r="E192" s="17">
        <f t="shared" si="41"/>
        <v>-4.5314374242189093E-2</v>
      </c>
      <c r="F192" s="17">
        <f t="shared" si="42"/>
        <v>-1.0430042697575526</v>
      </c>
    </row>
    <row r="193" spans="1:6" x14ac:dyDescent="0.3">
      <c r="A193" t="str">
        <f>$A$25</f>
        <v>Furniture</v>
      </c>
      <c r="B193" s="17">
        <f t="shared" ref="B193:E212" si="43">IF(AND(C$3-B$3 &lt;&gt; 0,B25&lt;&gt;0,C25&lt;&gt;0),(EXP(LN(C25/B25)/(C$3-B$3))-1)*100,0)</f>
        <v>0.57046453161133659</v>
      </c>
      <c r="C193" s="17">
        <f t="shared" si="43"/>
        <v>3.2826156564849551</v>
      </c>
      <c r="D193" s="17">
        <f t="shared" si="43"/>
        <v>-2.5823479701814089</v>
      </c>
      <c r="E193" s="17">
        <f t="shared" si="43"/>
        <v>-0.60291645229284541</v>
      </c>
      <c r="F193" s="17">
        <f t="shared" si="42"/>
        <v>-1.2671559746356142</v>
      </c>
    </row>
    <row r="194" spans="1:6" x14ac:dyDescent="0.3">
      <c r="A194" t="str">
        <f>$A$26</f>
        <v>Other manufacturing</v>
      </c>
      <c r="B194" s="17">
        <f t="shared" si="43"/>
        <v>-5.7563903006629946E-2</v>
      </c>
      <c r="C194" s="17">
        <f t="shared" si="43"/>
        <v>4.0522508602534701</v>
      </c>
      <c r="D194" s="17">
        <f t="shared" si="43"/>
        <v>-2.690169646875884</v>
      </c>
      <c r="E194" s="17">
        <f t="shared" si="43"/>
        <v>-0.62449318543492671</v>
      </c>
      <c r="F194" s="17">
        <f t="shared" si="42"/>
        <v>-1.3178788029669319</v>
      </c>
    </row>
    <row r="195" spans="1:6" x14ac:dyDescent="0.3">
      <c r="A195" t="str">
        <f>$A$27</f>
        <v>Repair and installation</v>
      </c>
      <c r="B195" s="17">
        <f t="shared" si="43"/>
        <v>4.3729679237967112</v>
      </c>
      <c r="C195" s="17">
        <f t="shared" si="43"/>
        <v>10.722390151810623</v>
      </c>
      <c r="D195" s="17">
        <f t="shared" si="43"/>
        <v>-2.6228477686075946</v>
      </c>
      <c r="E195" s="17">
        <f t="shared" si="43"/>
        <v>-0.54049172323317185</v>
      </c>
      <c r="F195" s="17">
        <f t="shared" si="42"/>
        <v>-1.2395117388988353</v>
      </c>
    </row>
    <row r="196" spans="1:6" x14ac:dyDescent="0.3">
      <c r="A196" t="str">
        <f>$A$28</f>
        <v>Electricity, gas, etc</v>
      </c>
      <c r="B196" s="17">
        <f t="shared" si="43"/>
        <v>4.7648576757263195</v>
      </c>
      <c r="C196" s="17">
        <f t="shared" si="43"/>
        <v>-0.22856566640617748</v>
      </c>
      <c r="D196" s="17">
        <f t="shared" si="43"/>
        <v>-0.76664920017744942</v>
      </c>
      <c r="E196" s="17">
        <f t="shared" si="43"/>
        <v>-6.6281073622831421E-2</v>
      </c>
      <c r="F196" s="17">
        <f t="shared" si="42"/>
        <v>-0.30028462793940669</v>
      </c>
    </row>
    <row r="197" spans="1:6" x14ac:dyDescent="0.3">
      <c r="A197" t="str">
        <f>$A$29</f>
        <v>Water</v>
      </c>
      <c r="B197" s="17">
        <f t="shared" si="43"/>
        <v>4.8567087320764424</v>
      </c>
      <c r="C197" s="17">
        <f t="shared" si="43"/>
        <v>-5.5897727861040192</v>
      </c>
      <c r="D197" s="17">
        <f t="shared" si="43"/>
        <v>1.0137207591921049</v>
      </c>
      <c r="E197" s="17">
        <f t="shared" si="43"/>
        <v>0.76734494324737224</v>
      </c>
      <c r="F197" s="17">
        <f t="shared" si="42"/>
        <v>0.8494033739932183</v>
      </c>
    </row>
    <row r="198" spans="1:6" x14ac:dyDescent="0.3">
      <c r="A198" t="str">
        <f>$A$30</f>
        <v>Sewerage</v>
      </c>
      <c r="B198" s="17">
        <f t="shared" si="43"/>
        <v>-0.64388321157237138</v>
      </c>
      <c r="C198" s="17">
        <f t="shared" si="43"/>
        <v>-8.8265592807443056</v>
      </c>
      <c r="D198" s="17">
        <f t="shared" si="43"/>
        <v>1.0520481496509193</v>
      </c>
      <c r="E198" s="17">
        <f t="shared" si="43"/>
        <v>0.80329891023751543</v>
      </c>
      <c r="F198" s="17">
        <f t="shared" si="42"/>
        <v>0.88614721328554857</v>
      </c>
    </row>
    <row r="199" spans="1:6" x14ac:dyDescent="0.3">
      <c r="A199" t="str">
        <f>$A$31</f>
        <v>Waste management</v>
      </c>
      <c r="B199" s="17">
        <f t="shared" si="43"/>
        <v>3.4918649050573958</v>
      </c>
      <c r="C199" s="17">
        <f t="shared" si="43"/>
        <v>-7.9000804263751228</v>
      </c>
      <c r="D199" s="17">
        <f t="shared" si="43"/>
        <v>0.99088833658613762</v>
      </c>
      <c r="E199" s="17">
        <f t="shared" si="43"/>
        <v>0.73994083300505942</v>
      </c>
      <c r="F199" s="17">
        <f t="shared" si="42"/>
        <v>0.82352063894413075</v>
      </c>
    </row>
    <row r="200" spans="1:6" x14ac:dyDescent="0.3">
      <c r="A200" t="str">
        <f>$A$32</f>
        <v>Construction</v>
      </c>
      <c r="B200" s="17">
        <f t="shared" si="43"/>
        <v>4.1658218160159244</v>
      </c>
      <c r="C200" s="17">
        <f t="shared" si="43"/>
        <v>0.94403451748528155</v>
      </c>
      <c r="D200" s="17">
        <f t="shared" si="43"/>
        <v>1.0797871862560759</v>
      </c>
      <c r="E200" s="17">
        <f t="shared" si="43"/>
        <v>0.78628206160573644</v>
      </c>
      <c r="F200" s="17">
        <f t="shared" si="42"/>
        <v>0.88402228628725599</v>
      </c>
    </row>
    <row r="201" spans="1:6" x14ac:dyDescent="0.3">
      <c r="A201" t="str">
        <f>$A$33</f>
        <v>Civil engineering</v>
      </c>
      <c r="B201" s="17">
        <f t="shared" si="43"/>
        <v>1.5523995560026149</v>
      </c>
      <c r="C201" s="17">
        <f t="shared" si="43"/>
        <v>-0.53256893363028412</v>
      </c>
      <c r="D201" s="17">
        <f t="shared" si="43"/>
        <v>0.87697764531247113</v>
      </c>
      <c r="E201" s="17">
        <f t="shared" si="43"/>
        <v>0.65854054139218299</v>
      </c>
      <c r="F201" s="17">
        <f t="shared" si="42"/>
        <v>0.73130030321342243</v>
      </c>
    </row>
    <row r="202" spans="1:6" x14ac:dyDescent="0.3">
      <c r="A202" t="str">
        <f>$A$34</f>
        <v>Specialised construction</v>
      </c>
      <c r="B202" s="17">
        <f t="shared" si="43"/>
        <v>1.9914710630072552</v>
      </c>
      <c r="C202" s="17">
        <f t="shared" si="43"/>
        <v>-0.16462908977115109</v>
      </c>
      <c r="D202" s="17">
        <f t="shared" si="43"/>
        <v>0.91138729949749031</v>
      </c>
      <c r="E202" s="17">
        <f t="shared" si="43"/>
        <v>0.67606923188761048</v>
      </c>
      <c r="F202" s="17">
        <f t="shared" si="42"/>
        <v>0.75444755284199694</v>
      </c>
    </row>
    <row r="203" spans="1:6" x14ac:dyDescent="0.3">
      <c r="A203" t="str">
        <f>$A$35</f>
        <v>Motor vehicle trade</v>
      </c>
      <c r="B203" s="17">
        <f t="shared" si="43"/>
        <v>3.4589770871105596</v>
      </c>
      <c r="C203" s="17">
        <f t="shared" si="43"/>
        <v>-8.4782015919313451</v>
      </c>
      <c r="D203" s="17">
        <f t="shared" si="43"/>
        <v>0.5944565973621474</v>
      </c>
      <c r="E203" s="17">
        <f t="shared" si="43"/>
        <v>0.38775014786012196</v>
      </c>
      <c r="F203" s="17">
        <f t="shared" si="42"/>
        <v>0.45660506002960233</v>
      </c>
    </row>
    <row r="204" spans="1:6" x14ac:dyDescent="0.3">
      <c r="A204" t="str">
        <f>$A$36</f>
        <v>Wholesale trade</v>
      </c>
      <c r="B204" s="17">
        <f t="shared" si="43"/>
        <v>0.84991345495157855</v>
      </c>
      <c r="C204" s="17">
        <f t="shared" si="43"/>
        <v>-0.92265860405227329</v>
      </c>
      <c r="D204" s="17">
        <f t="shared" si="43"/>
        <v>0.24127273849954278</v>
      </c>
      <c r="E204" s="17">
        <f t="shared" si="43"/>
        <v>6.0869169424848657E-2</v>
      </c>
      <c r="F204" s="17">
        <f t="shared" si="42"/>
        <v>0.12096758899418081</v>
      </c>
    </row>
    <row r="205" spans="1:6" x14ac:dyDescent="0.3">
      <c r="A205" t="str">
        <f>$A$37</f>
        <v>Retail trade</v>
      </c>
      <c r="B205" s="17">
        <f t="shared" si="43"/>
        <v>-0.56471109274074394</v>
      </c>
      <c r="C205" s="17">
        <f t="shared" si="43"/>
        <v>1.0193939648463379</v>
      </c>
      <c r="D205" s="17">
        <f t="shared" si="43"/>
        <v>-3.7608559050117396E-2</v>
      </c>
      <c r="E205" s="17">
        <f t="shared" si="43"/>
        <v>6.4395154258711784E-2</v>
      </c>
      <c r="F205" s="17">
        <f t="shared" si="42"/>
        <v>3.0382356539826461E-2</v>
      </c>
    </row>
    <row r="206" spans="1:6" x14ac:dyDescent="0.3">
      <c r="A206" t="str">
        <f>$A$38</f>
        <v>Land transport, etc</v>
      </c>
      <c r="B206" s="17">
        <f t="shared" si="43"/>
        <v>3.8851308618250702</v>
      </c>
      <c r="C206" s="17">
        <f t="shared" si="43"/>
        <v>-5.440758494181952</v>
      </c>
      <c r="D206" s="17">
        <f t="shared" si="43"/>
        <v>1.709516810242917</v>
      </c>
      <c r="E206" s="17">
        <f t="shared" si="43"/>
        <v>9.338399840399525E-2</v>
      </c>
      <c r="F206" s="17">
        <f t="shared" si="42"/>
        <v>0.62922127973397135</v>
      </c>
    </row>
    <row r="207" spans="1:6" x14ac:dyDescent="0.3">
      <c r="A207" t="str">
        <f>$A$39</f>
        <v>Water transport</v>
      </c>
      <c r="B207" s="17">
        <f t="shared" si="43"/>
        <v>3.103448699704825</v>
      </c>
      <c r="C207" s="17">
        <f t="shared" si="43"/>
        <v>-0.36096589526620759</v>
      </c>
      <c r="D207" s="17">
        <f t="shared" si="43"/>
        <v>-3.46779271621378</v>
      </c>
      <c r="E207" s="17">
        <f t="shared" si="43"/>
        <v>-0.61589834130797438</v>
      </c>
      <c r="F207" s="17">
        <f t="shared" si="42"/>
        <v>-1.5757705989319026</v>
      </c>
    </row>
    <row r="208" spans="1:6" x14ac:dyDescent="0.3">
      <c r="A208" t="str">
        <f>$A$40</f>
        <v>Air transport</v>
      </c>
      <c r="B208" s="17">
        <f t="shared" si="43"/>
        <v>1.5950411867749592</v>
      </c>
      <c r="C208" s="17">
        <f t="shared" si="43"/>
        <v>-6.6186116161042534</v>
      </c>
      <c r="D208" s="17">
        <f t="shared" si="43"/>
        <v>0.76054284960764829</v>
      </c>
      <c r="E208" s="17">
        <f t="shared" si="43"/>
        <v>0.13551867835386311</v>
      </c>
      <c r="F208" s="17">
        <f t="shared" si="42"/>
        <v>0.34342809177285716</v>
      </c>
    </row>
    <row r="209" spans="1:6" x14ac:dyDescent="0.3">
      <c r="A209" t="str">
        <f>$A$41</f>
        <v>Warehousing, etc</v>
      </c>
      <c r="B209" s="17">
        <f t="shared" si="43"/>
        <v>3.5415631184879448</v>
      </c>
      <c r="C209" s="17">
        <f t="shared" si="43"/>
        <v>3.7611197918649975</v>
      </c>
      <c r="D209" s="17">
        <f t="shared" si="43"/>
        <v>1.0277399237941243</v>
      </c>
      <c r="E209" s="17">
        <f t="shared" si="43"/>
        <v>0.26291137048741753</v>
      </c>
      <c r="F209" s="17">
        <f t="shared" si="42"/>
        <v>0.51720870069738023</v>
      </c>
    </row>
    <row r="210" spans="1:6" x14ac:dyDescent="0.3">
      <c r="A210" t="str">
        <f>$A$42</f>
        <v>Postal and courier</v>
      </c>
      <c r="B210" s="17">
        <f t="shared" si="43"/>
        <v>1.904581397001337</v>
      </c>
      <c r="C210" s="17">
        <f t="shared" si="43"/>
        <v>5.8417174696018037</v>
      </c>
      <c r="D210" s="17">
        <f t="shared" si="43"/>
        <v>1.0996888821718898</v>
      </c>
      <c r="E210" s="17">
        <f t="shared" si="43"/>
        <v>0.37601533712181556</v>
      </c>
      <c r="F210" s="17">
        <f t="shared" si="42"/>
        <v>0.61666245013136667</v>
      </c>
    </row>
    <row r="211" spans="1:6" x14ac:dyDescent="0.3">
      <c r="A211" t="str">
        <f>$A$43</f>
        <v>Accommodation</v>
      </c>
      <c r="B211" s="17">
        <f t="shared" si="43"/>
        <v>2.9958390423683534</v>
      </c>
      <c r="C211" s="17">
        <f t="shared" si="43"/>
        <v>-8.3331234221122319</v>
      </c>
      <c r="D211" s="17">
        <f t="shared" si="43"/>
        <v>2.2188769950995946</v>
      </c>
      <c r="E211" s="17">
        <f t="shared" si="43"/>
        <v>0.86940639779362616</v>
      </c>
      <c r="F211" s="17">
        <f t="shared" si="42"/>
        <v>1.3172387357599069</v>
      </c>
    </row>
    <row r="212" spans="1:6" x14ac:dyDescent="0.3">
      <c r="A212" t="str">
        <f>$A$44</f>
        <v>Food and beverage services</v>
      </c>
      <c r="B212" s="17">
        <f t="shared" si="43"/>
        <v>3.0341996741201749</v>
      </c>
      <c r="C212" s="17">
        <f t="shared" si="43"/>
        <v>-2.9348046034430197</v>
      </c>
      <c r="D212" s="17">
        <f t="shared" si="43"/>
        <v>0.61539005765185451</v>
      </c>
      <c r="E212" s="17">
        <f t="shared" si="43"/>
        <v>1.4828353902416547</v>
      </c>
      <c r="F212" s="17">
        <f t="shared" si="42"/>
        <v>1.1928591595038007</v>
      </c>
    </row>
    <row r="213" spans="1:6" x14ac:dyDescent="0.3">
      <c r="A213" t="str">
        <f>$A$45</f>
        <v>Publishing activities</v>
      </c>
      <c r="B213" s="17">
        <f t="shared" ref="B213:C238" si="44">IF(AND(C$3-B$3 &lt;&gt; 0,B45&lt;&gt;0,C45&lt;&gt;0),(EXP(LN(C45/B45)/(C$3-B$3))-1)*100,0)</f>
        <v>-2.7177156495761245</v>
      </c>
      <c r="C213" s="17">
        <f t="shared" si="44"/>
        <v>1.5139687761789533</v>
      </c>
      <c r="D213" s="17">
        <f t="shared" ref="D213:E213" si="45">IF(AND(E$3-D$3 &lt;&gt; 0,D45&lt;&gt;0,E45&lt;&gt;0),(EXP(LN(E45/D45)/(E$3-D$3))-1)*100,0)</f>
        <v>9.4928571028773945E-2</v>
      </c>
      <c r="E213" s="17">
        <f t="shared" si="45"/>
        <v>2.7356936119660169E-2</v>
      </c>
      <c r="F213" s="17">
        <f t="shared" si="42"/>
        <v>4.9875744461869154E-2</v>
      </c>
    </row>
    <row r="214" spans="1:6" x14ac:dyDescent="0.3">
      <c r="A214" t="str">
        <f>$A$46</f>
        <v>Film and music</v>
      </c>
      <c r="B214" s="17">
        <f t="shared" si="44"/>
        <v>3.0372828289985554</v>
      </c>
      <c r="C214" s="17">
        <f t="shared" si="44"/>
        <v>1.0324779357628877E-2</v>
      </c>
      <c r="D214" s="17">
        <f t="shared" ref="D214:E214" si="46">IF(AND(E$3-D$3 &lt;&gt; 0,D46&lt;&gt;0,E46&lt;&gt;0),(EXP(LN(E46/D46)/(E$3-D$3))-1)*100,0)</f>
        <v>0.36739558186962284</v>
      </c>
      <c r="E214" s="17">
        <f t="shared" si="46"/>
        <v>0.19971469346649062</v>
      </c>
      <c r="F214" s="17">
        <f t="shared" si="42"/>
        <v>0.25557717317918893</v>
      </c>
    </row>
    <row r="215" spans="1:6" x14ac:dyDescent="0.3">
      <c r="A215" t="str">
        <f>$A$47</f>
        <v>Broadcasting</v>
      </c>
      <c r="B215" s="17">
        <f t="shared" si="44"/>
        <v>3.2150001231659786</v>
      </c>
      <c r="C215" s="17">
        <f t="shared" si="44"/>
        <v>2.2356112263249184</v>
      </c>
      <c r="D215" s="17">
        <f t="shared" ref="D215:E215" si="47">IF(AND(E$3-D$3 &lt;&gt; 0,D47&lt;&gt;0,E47&lt;&gt;0),(EXP(LN(E47/D47)/(E$3-D$3))-1)*100,0)</f>
        <v>0.34806484722544884</v>
      </c>
      <c r="E215" s="17">
        <f t="shared" si="47"/>
        <v>6.3397983367519117E-2</v>
      </c>
      <c r="F215" s="17">
        <f t="shared" si="42"/>
        <v>0.1581970978423497</v>
      </c>
    </row>
    <row r="216" spans="1:6" x14ac:dyDescent="0.3">
      <c r="A216" t="str">
        <f>$A$48</f>
        <v>Telecommunications</v>
      </c>
      <c r="B216" s="17">
        <f t="shared" si="44"/>
        <v>-1.5165954389911751</v>
      </c>
      <c r="C216" s="17">
        <f t="shared" si="44"/>
        <v>-3.2043157517020915</v>
      </c>
      <c r="D216" s="17">
        <f t="shared" ref="D216:E216" si="48">IF(AND(E$3-D$3 &lt;&gt; 0,D48&lt;&gt;0,E48&lt;&gt;0),(EXP(LN(E48/D48)/(E$3-D$3))-1)*100,0)</f>
        <v>1.3639917942852131</v>
      </c>
      <c r="E216" s="17">
        <f t="shared" si="48"/>
        <v>0.71574862882624046</v>
      </c>
      <c r="F216" s="17">
        <f t="shared" si="42"/>
        <v>0.93136774252235988</v>
      </c>
    </row>
    <row r="217" spans="1:6" x14ac:dyDescent="0.3">
      <c r="A217" t="str">
        <f>$A$49</f>
        <v>Computing services</v>
      </c>
      <c r="B217" s="17">
        <f t="shared" si="44"/>
        <v>2.9057513100380739</v>
      </c>
      <c r="C217" s="17">
        <f t="shared" si="44"/>
        <v>1.1758409119335456</v>
      </c>
      <c r="D217" s="17">
        <f t="shared" ref="D217:E217" si="49">IF(AND(E$3-D$3 &lt;&gt; 0,D49&lt;&gt;0,E49&lt;&gt;0),(EXP(LN(E49/D49)/(E$3-D$3))-1)*100,0)</f>
        <v>1.4505695300464305</v>
      </c>
      <c r="E217" s="17">
        <f t="shared" si="49"/>
        <v>0.7737855039671393</v>
      </c>
      <c r="F217" s="17">
        <f t="shared" si="42"/>
        <v>0.99887703339884837</v>
      </c>
    </row>
    <row r="218" spans="1:6" x14ac:dyDescent="0.3">
      <c r="A218" t="str">
        <f>$A$50</f>
        <v>Information services</v>
      </c>
      <c r="B218" s="17">
        <f t="shared" si="44"/>
        <v>-2.1216641378838719</v>
      </c>
      <c r="C218" s="17">
        <f t="shared" si="44"/>
        <v>4.0064552350065119</v>
      </c>
      <c r="D218" s="17">
        <f t="shared" ref="D218:E218" si="50">IF(AND(E$3-D$3 &lt;&gt; 0,D50&lt;&gt;0,E50&lt;&gt;0),(EXP(LN(E50/D50)/(E$3-D$3))-1)*100,0)</f>
        <v>1.6032934229361695</v>
      </c>
      <c r="E218" s="17">
        <f t="shared" si="50"/>
        <v>0.88479893562505296</v>
      </c>
      <c r="F218" s="17">
        <f t="shared" si="42"/>
        <v>1.1237307739708102</v>
      </c>
    </row>
    <row r="219" spans="1:6" x14ac:dyDescent="0.3">
      <c r="A219" t="str">
        <f>$A$51</f>
        <v>Financial services</v>
      </c>
      <c r="B219" s="17">
        <f t="shared" si="44"/>
        <v>-0.59985270165870963</v>
      </c>
      <c r="C219" s="17">
        <f t="shared" si="44"/>
        <v>-1.2647792840861594</v>
      </c>
      <c r="D219" s="17">
        <f t="shared" ref="D219:E219" si="51">IF(AND(E$3-D$3 &lt;&gt; 0,D51&lt;&gt;0,E51&lt;&gt;0),(EXP(LN(E51/D51)/(E$3-D$3))-1)*100,0)</f>
        <v>-1.2810133582008554E-3</v>
      </c>
      <c r="E219" s="17">
        <f t="shared" si="51"/>
        <v>-0.21929155360578267</v>
      </c>
      <c r="F219" s="17">
        <f t="shared" si="42"/>
        <v>-0.14667423498603283</v>
      </c>
    </row>
    <row r="220" spans="1:6" x14ac:dyDescent="0.3">
      <c r="A220" t="str">
        <f>$A$52</f>
        <v>Insurance and pensions</v>
      </c>
      <c r="B220" s="17">
        <f t="shared" si="44"/>
        <v>3.0243346471333421</v>
      </c>
      <c r="C220" s="17">
        <f t="shared" si="44"/>
        <v>-0.75046746956028976</v>
      </c>
      <c r="D220" s="17">
        <f t="shared" ref="D220:E220" si="52">IF(AND(E$3-D$3 &lt;&gt; 0,D52&lt;&gt;0,E52&lt;&gt;0),(EXP(LN(E52/D52)/(E$3-D$3))-1)*100,0)</f>
        <v>-0.1989925419618066</v>
      </c>
      <c r="E220" s="17">
        <f t="shared" si="52"/>
        <v>-0.42159270226098666</v>
      </c>
      <c r="F220" s="17">
        <f t="shared" si="42"/>
        <v>-0.34744786984188814</v>
      </c>
    </row>
    <row r="221" spans="1:6" x14ac:dyDescent="0.3">
      <c r="A221" t="str">
        <f>$A$53</f>
        <v>Auxiliary financial services</v>
      </c>
      <c r="B221" s="17">
        <f t="shared" si="44"/>
        <v>1.2671118338100529</v>
      </c>
      <c r="C221" s="17">
        <f t="shared" si="44"/>
        <v>3.0592037415331452</v>
      </c>
      <c r="D221" s="17">
        <f t="shared" ref="D221:E221" si="53">IF(AND(E$3-D$3 &lt;&gt; 0,D53&lt;&gt;0,E53&lt;&gt;0),(EXP(LN(E53/D53)/(E$3-D$3))-1)*100,0)</f>
        <v>0.12706831411433139</v>
      </c>
      <c r="E221" s="17">
        <f t="shared" si="53"/>
        <v>-0.2391987278668628</v>
      </c>
      <c r="F221" s="17">
        <f t="shared" si="42"/>
        <v>-0.11725882452795489</v>
      </c>
    </row>
    <row r="222" spans="1:6" x14ac:dyDescent="0.3">
      <c r="A222" t="str">
        <f>$A$54</f>
        <v>Real estate</v>
      </c>
      <c r="B222" s="17">
        <f t="shared" si="44"/>
        <v>0.62110430846624709</v>
      </c>
      <c r="C222" s="17">
        <f t="shared" si="44"/>
        <v>10.511674215107103</v>
      </c>
      <c r="D222" s="17">
        <f t="shared" ref="D222:E222" si="54">IF(AND(E$3-D$3 &lt;&gt; 0,D54&lt;&gt;0,E54&lt;&gt;0),(EXP(LN(E54/D54)/(E$3-D$3))-1)*100,0)</f>
        <v>-0.64549854095338199</v>
      </c>
      <c r="E222" s="17">
        <f t="shared" si="54"/>
        <v>0.8737814201959182</v>
      </c>
      <c r="F222" s="17">
        <f t="shared" si="42"/>
        <v>0.36479081286955317</v>
      </c>
    </row>
    <row r="223" spans="1:6" x14ac:dyDescent="0.3">
      <c r="A223" t="str">
        <f>$A$55</f>
        <v>Legal and accounting</v>
      </c>
      <c r="B223" s="17">
        <f t="shared" si="44"/>
        <v>3.4173227997040145</v>
      </c>
      <c r="C223" s="17">
        <f t="shared" si="44"/>
        <v>-4.7443965480866712</v>
      </c>
      <c r="D223" s="17">
        <f t="shared" ref="D223:E223" si="55">IF(AND(E$3-D$3 &lt;&gt; 0,D55&lt;&gt;0,E55&lt;&gt;0),(EXP(LN(E55/D55)/(E$3-D$3))-1)*100,0)</f>
        <v>1.0220003601917549</v>
      </c>
      <c r="E223" s="17">
        <f t="shared" si="55"/>
        <v>0.53103013894268969</v>
      </c>
      <c r="F223" s="17">
        <f t="shared" si="42"/>
        <v>0.69442117935363257</v>
      </c>
    </row>
    <row r="224" spans="1:6" x14ac:dyDescent="0.3">
      <c r="A224" t="str">
        <f>$A$56</f>
        <v>Head offices, etc</v>
      </c>
      <c r="B224" s="17">
        <f t="shared" si="44"/>
        <v>0.93563637597251503</v>
      </c>
      <c r="C224" s="17">
        <f t="shared" si="44"/>
        <v>0.72589332377090976</v>
      </c>
      <c r="D224" s="17">
        <f t="shared" ref="D224:E224" si="56">IF(AND(E$3-D$3 &lt;&gt; 0,D56&lt;&gt;0,E56&lt;&gt;0),(EXP(LN(E56/D56)/(E$3-D$3))-1)*100,0)</f>
        <v>0.69967333672018572</v>
      </c>
      <c r="E224" s="17">
        <f t="shared" si="56"/>
        <v>0.35929776551226755</v>
      </c>
      <c r="F224" s="17">
        <f t="shared" si="42"/>
        <v>0.47262826288168025</v>
      </c>
    </row>
    <row r="225" spans="1:6" x14ac:dyDescent="0.3">
      <c r="A225" t="str">
        <f>$A$57</f>
        <v>Architectural and related</v>
      </c>
      <c r="B225" s="17">
        <f t="shared" si="44"/>
        <v>3.3110255533535415</v>
      </c>
      <c r="C225" s="17">
        <f t="shared" si="44"/>
        <v>1.6314197239452266</v>
      </c>
      <c r="D225" s="17">
        <f t="shared" ref="D225:E225" si="57">IF(AND(E$3-D$3 &lt;&gt; 0,D57&lt;&gt;0,E57&lt;&gt;0),(EXP(LN(E57/D57)/(E$3-D$3))-1)*100,0)</f>
        <v>-0.31186021678415443</v>
      </c>
      <c r="E225" s="17">
        <f t="shared" si="57"/>
        <v>0.37409463777575702</v>
      </c>
      <c r="F225" s="17">
        <f t="shared" si="42"/>
        <v>0.14492016589107148</v>
      </c>
    </row>
    <row r="226" spans="1:6" x14ac:dyDescent="0.3">
      <c r="A226" t="str">
        <f>$A$58</f>
        <v>Scientific research and development</v>
      </c>
      <c r="B226" s="17">
        <f t="shared" si="44"/>
        <v>3.4641160046608332</v>
      </c>
      <c r="C226" s="17">
        <f t="shared" si="44"/>
        <v>-9.5441767301128522</v>
      </c>
      <c r="D226" s="17">
        <f t="shared" ref="D226:E226" si="58">IF(AND(E$3-D$3 &lt;&gt; 0,D58&lt;&gt;0,E58&lt;&gt;0),(EXP(LN(E58/D58)/(E$3-D$3))-1)*100,0)</f>
        <v>2.154376482364162</v>
      </c>
      <c r="E226" s="17">
        <f t="shared" si="58"/>
        <v>1.2324118818094032</v>
      </c>
      <c r="F226" s="17">
        <f t="shared" si="42"/>
        <v>1.5388051401123093</v>
      </c>
    </row>
    <row r="227" spans="1:6" x14ac:dyDescent="0.3">
      <c r="A227" t="str">
        <f>$A$59</f>
        <v>Advertising, etc</v>
      </c>
      <c r="B227" s="17">
        <f t="shared" si="44"/>
        <v>-1.9537593437030654</v>
      </c>
      <c r="C227" s="17">
        <f t="shared" si="44"/>
        <v>-6.5975626233051532</v>
      </c>
      <c r="D227" s="17">
        <f t="shared" ref="D227:E227" si="59">IF(AND(E$3-D$3 &lt;&gt; 0,D59&lt;&gt;0,E59&lt;&gt;0),(EXP(LN(E59/D59)/(E$3-D$3))-1)*100,0)</f>
        <v>2.3451922037713624</v>
      </c>
      <c r="E227" s="17">
        <f t="shared" si="59"/>
        <v>1.0819617385172453</v>
      </c>
      <c r="F227" s="17">
        <f t="shared" si="42"/>
        <v>1.501296559552423</v>
      </c>
    </row>
    <row r="228" spans="1:6" x14ac:dyDescent="0.3">
      <c r="A228" t="str">
        <f>$A$60</f>
        <v>Other professional</v>
      </c>
      <c r="B228" s="17">
        <f t="shared" si="44"/>
        <v>4.6305516972075411</v>
      </c>
      <c r="C228" s="17">
        <f t="shared" si="44"/>
        <v>-6.1131122757173255</v>
      </c>
      <c r="D228" s="17">
        <f t="shared" ref="D228:E228" si="60">IF(AND(E$3-D$3 &lt;&gt; 0,D60&lt;&gt;0,E60&lt;&gt;0),(EXP(LN(E60/D60)/(E$3-D$3))-1)*100,0)</f>
        <v>2.2073272417080902</v>
      </c>
      <c r="E228" s="17">
        <f t="shared" si="60"/>
        <v>1.1491546192991642</v>
      </c>
      <c r="F228" s="17">
        <f t="shared" si="42"/>
        <v>1.5006559170786193</v>
      </c>
    </row>
    <row r="229" spans="1:6" x14ac:dyDescent="0.3">
      <c r="A229" t="str">
        <f>$A$61</f>
        <v>Veterinary</v>
      </c>
      <c r="B229" s="17">
        <f t="shared" si="44"/>
        <v>11.387190589692864</v>
      </c>
      <c r="C229" s="17">
        <f t="shared" si="44"/>
        <v>-6.1470443413416227</v>
      </c>
      <c r="D229" s="17">
        <f t="shared" ref="D229:E229" si="61">IF(AND(E$3-D$3 &lt;&gt; 0,D61&lt;&gt;0,E61&lt;&gt;0),(EXP(LN(E61/D61)/(E$3-D$3))-1)*100,0)</f>
        <v>2.4542383844613713</v>
      </c>
      <c r="E229" s="17">
        <f t="shared" si="61"/>
        <v>1.4311396961582679</v>
      </c>
      <c r="F229" s="17">
        <f t="shared" si="42"/>
        <v>1.7710323501297864</v>
      </c>
    </row>
    <row r="230" spans="1:6" x14ac:dyDescent="0.3">
      <c r="A230" t="str">
        <f>$A$62</f>
        <v>Rental and leasing</v>
      </c>
      <c r="B230" s="17">
        <f t="shared" si="44"/>
        <v>-0.49071372235099942</v>
      </c>
      <c r="C230" s="17">
        <f t="shared" si="44"/>
        <v>-5.449283007357586</v>
      </c>
      <c r="D230" s="17">
        <f t="shared" ref="D230:E230" si="62">IF(AND(E$3-D$3 &lt;&gt; 0,D62&lt;&gt;0,E62&lt;&gt;0),(EXP(LN(E62/D62)/(E$3-D$3))-1)*100,0)</f>
        <v>1.1892321679182416</v>
      </c>
      <c r="E230" s="17">
        <f t="shared" si="62"/>
        <v>0.70669508382816826</v>
      </c>
      <c r="F230" s="17">
        <f t="shared" si="42"/>
        <v>0.86728456230706907</v>
      </c>
    </row>
    <row r="231" spans="1:6" x14ac:dyDescent="0.3">
      <c r="A231" t="str">
        <f>$A$63</f>
        <v>Employment activities</v>
      </c>
      <c r="B231" s="17">
        <f t="shared" si="44"/>
        <v>0.36705626539281777</v>
      </c>
      <c r="C231" s="17">
        <f t="shared" si="44"/>
        <v>-6.0036220790218531</v>
      </c>
      <c r="D231" s="17">
        <f t="shared" ref="D231:E231" si="63">IF(AND(E$3-D$3 &lt;&gt; 0,D63&lt;&gt;0,E63&lt;&gt;0),(EXP(LN(E63/D63)/(E$3-D$3))-1)*100,0)</f>
        <v>1.1927303305792503</v>
      </c>
      <c r="E231" s="17">
        <f t="shared" si="63"/>
        <v>0.6859125015367562</v>
      </c>
      <c r="F231" s="17">
        <f t="shared" si="42"/>
        <v>0.85456910742374159</v>
      </c>
    </row>
    <row r="232" spans="1:6" x14ac:dyDescent="0.3">
      <c r="A232" t="str">
        <f>$A$64</f>
        <v>Travel, etc</v>
      </c>
      <c r="B232" s="17">
        <f t="shared" si="44"/>
        <v>1.6737001358059445</v>
      </c>
      <c r="C232" s="17">
        <f t="shared" si="44"/>
        <v>-6.2303549852392397</v>
      </c>
      <c r="D232" s="17">
        <f t="shared" ref="D232:E232" si="64">IF(AND(E$3-D$3 &lt;&gt; 0,D64&lt;&gt;0,E64&lt;&gt;0),(EXP(LN(E64/D64)/(E$3-D$3))-1)*100,0)</f>
        <v>1.1147963285202955</v>
      </c>
      <c r="E232" s="17">
        <f t="shared" si="64"/>
        <v>0.6929692122251252</v>
      </c>
      <c r="F232" s="17">
        <f t="shared" si="42"/>
        <v>0.83338235830647811</v>
      </c>
    </row>
    <row r="233" spans="1:6" x14ac:dyDescent="0.3">
      <c r="A233" t="str">
        <f>$A$65</f>
        <v>Security, etc</v>
      </c>
      <c r="B233" s="17">
        <f t="shared" si="44"/>
        <v>2.6991277343000331</v>
      </c>
      <c r="C233" s="17">
        <f t="shared" si="44"/>
        <v>-5.3355685891988465</v>
      </c>
      <c r="D233" s="17">
        <f t="shared" ref="D233:E233" si="65">IF(AND(E$3-D$3 &lt;&gt; 0,D65&lt;&gt;0,E65&lt;&gt;0),(EXP(LN(E65/D65)/(E$3-D$3))-1)*100,0)</f>
        <v>1.1523891072757531</v>
      </c>
      <c r="E233" s="17">
        <f t="shared" si="65"/>
        <v>0.68106888376391339</v>
      </c>
      <c r="F233" s="17">
        <f t="shared" si="42"/>
        <v>0.83793110493306511</v>
      </c>
    </row>
    <row r="234" spans="1:6" x14ac:dyDescent="0.3">
      <c r="A234" t="str">
        <f>$A$66</f>
        <v>Services to buildings</v>
      </c>
      <c r="B234" s="17">
        <f t="shared" si="44"/>
        <v>1.0388471577883029</v>
      </c>
      <c r="C234" s="17">
        <f t="shared" si="44"/>
        <v>-6.109501229940606</v>
      </c>
      <c r="D234" s="17">
        <f t="shared" ref="D234:E234" si="66">IF(AND(E$3-D$3 &lt;&gt; 0,D66&lt;&gt;0,E66&lt;&gt;0),(EXP(LN(E66/D66)/(E$3-D$3))-1)*100,0)</f>
        <v>1.1094110412700253</v>
      </c>
      <c r="E234" s="17">
        <f t="shared" si="66"/>
        <v>0.63086080561973734</v>
      </c>
      <c r="F234" s="17">
        <f t="shared" si="42"/>
        <v>0.79012535604929823</v>
      </c>
    </row>
    <row r="235" spans="1:6" x14ac:dyDescent="0.3">
      <c r="A235" t="str">
        <f>$A$67</f>
        <v>Office administrative</v>
      </c>
      <c r="B235" s="17">
        <f t="shared" si="44"/>
        <v>3.896314695995251</v>
      </c>
      <c r="C235" s="17">
        <f t="shared" si="44"/>
        <v>-5.7516945099147616</v>
      </c>
      <c r="D235" s="17">
        <f t="shared" ref="D235:E235" si="67">IF(AND(E$3-D$3 &lt;&gt; 0,D67&lt;&gt;0,E67&lt;&gt;0),(EXP(LN(E67/D67)/(E$3-D$3))-1)*100,0)</f>
        <v>1.1699057937831991</v>
      </c>
      <c r="E235" s="17">
        <f t="shared" si="67"/>
        <v>0.6890033686805408</v>
      </c>
      <c r="F235" s="17">
        <f t="shared" si="42"/>
        <v>0.84904964694050289</v>
      </c>
    </row>
    <row r="236" spans="1:6" x14ac:dyDescent="0.3">
      <c r="A236" t="str">
        <f>$A$68</f>
        <v>Public administration and defence</v>
      </c>
      <c r="B236" s="17">
        <f t="shared" si="44"/>
        <v>0.30793723289141983</v>
      </c>
      <c r="C236" s="17">
        <f t="shared" si="44"/>
        <v>4.0163164621492164</v>
      </c>
      <c r="D236" s="17">
        <f t="shared" ref="D236:E236" si="68">IF(AND(E$3-D$3 &lt;&gt; 0,D68&lt;&gt;0,E68&lt;&gt;0),(EXP(LN(E68/D68)/(E$3-D$3))-1)*100,0)</f>
        <v>0.52127477330956573</v>
      </c>
      <c r="E236" s="17">
        <f t="shared" si="68"/>
        <v>0.19617677247203424</v>
      </c>
      <c r="F236" s="17">
        <f t="shared" si="42"/>
        <v>0.30442578158225153</v>
      </c>
    </row>
    <row r="237" spans="1:6" x14ac:dyDescent="0.3">
      <c r="A237" t="str">
        <f>$A$69</f>
        <v xml:space="preserve">Education </v>
      </c>
      <c r="B237" s="17">
        <f t="shared" si="44"/>
        <v>-3.4808041680745028E-2</v>
      </c>
      <c r="C237" s="17">
        <f t="shared" si="44"/>
        <v>0.31622962140254174</v>
      </c>
      <c r="D237" s="17">
        <f t="shared" ref="D237:E237" si="69">IF(AND(E$3-D$3 &lt;&gt; 0,D69&lt;&gt;0,E69&lt;&gt;0),(EXP(LN(E69/D69)/(E$3-D$3))-1)*100,0)</f>
        <v>9.1026887480816221E-2</v>
      </c>
      <c r="E237" s="17">
        <f t="shared" si="69"/>
        <v>0.34800896989775065</v>
      </c>
      <c r="F237" s="17">
        <f t="shared" si="42"/>
        <v>0.26227504847629035</v>
      </c>
    </row>
    <row r="238" spans="1:6" x14ac:dyDescent="0.3">
      <c r="A238" t="str">
        <f>$A$70</f>
        <v>Health</v>
      </c>
      <c r="B238" s="17">
        <f t="shared" si="44"/>
        <v>2.3717394137875214</v>
      </c>
      <c r="C238" s="17">
        <f t="shared" si="44"/>
        <v>3.0058963611528711</v>
      </c>
      <c r="D238" s="17">
        <f t="shared" ref="D238:E238" si="70">IF(AND(E$3-D$3 &lt;&gt; 0,D70&lt;&gt;0,E70&lt;&gt;0),(EXP(LN(E70/D70)/(E$3-D$3))-1)*100,0)</f>
        <v>1.2387380367514744</v>
      </c>
      <c r="E238" s="17">
        <f t="shared" si="70"/>
        <v>0.63074557825799626</v>
      </c>
      <c r="F238" s="17">
        <f t="shared" ref="F238:F249" si="71">IF(AND(F$3-D$3 &lt;&gt; 0,D70&lt;&gt;0,F70&lt;&gt;0),(EXP(LN(F70/D70)/(F$3-D$3))-1)*100,0)</f>
        <v>0.83300294240751249</v>
      </c>
    </row>
    <row r="239" spans="1:6" x14ac:dyDescent="0.3">
      <c r="A239" t="str">
        <f>$A$71</f>
        <v>Residential care</v>
      </c>
      <c r="B239" s="17">
        <f t="shared" ref="B239:C239" si="72">IF(AND(C$3-B$3 &lt;&gt; 0,B71&lt;&gt;0,C71&lt;&gt;0),(EXP(LN(C71/B71)/(C$3-B$3))-1)*100,0)</f>
        <v>1.1595926826912795E-2</v>
      </c>
      <c r="C239" s="17">
        <f t="shared" si="72"/>
        <v>-5.4709479885207468</v>
      </c>
      <c r="D239" s="17">
        <f t="shared" ref="D239:D247" si="73">IF(AND(E$3-D$3 &lt;&gt; 0,D71&lt;&gt;0,E71&lt;&gt;0),(EXP(LN(E71/D71)/(E$3-D$3))-1)*100,0)</f>
        <v>1.4137206571088967</v>
      </c>
      <c r="E239" s="17">
        <f t="shared" ref="E239:E247" si="74">IF(AND(F$3-E$3 &lt;&gt; 0,E71&lt;&gt;0,F71&lt;&gt;0),(EXP(LN(F71/E71)/(F$3-E$3))-1)*100,0)</f>
        <v>0.76424016113190163</v>
      </c>
      <c r="F239" s="17">
        <f t="shared" si="71"/>
        <v>0.98027017870019328</v>
      </c>
    </row>
    <row r="240" spans="1:6" x14ac:dyDescent="0.3">
      <c r="A240" t="str">
        <f>$A$72</f>
        <v>Social work</v>
      </c>
      <c r="B240" s="17">
        <f t="shared" ref="B240:C240" si="75">IF(AND(C$3-B$3 &lt;&gt; 0,B72&lt;&gt;0,C72&lt;&gt;0),(EXP(LN(C72/B72)/(C$3-B$3))-1)*100,0)</f>
        <v>0.13656323220527788</v>
      </c>
      <c r="C240" s="17">
        <f t="shared" si="75"/>
        <v>-5.6892143591007693</v>
      </c>
      <c r="D240" s="17">
        <f t="shared" si="73"/>
        <v>1.1836357344543691</v>
      </c>
      <c r="E240" s="17">
        <f t="shared" si="74"/>
        <v>0.57621123889033399</v>
      </c>
      <c r="F240" s="17">
        <f t="shared" si="71"/>
        <v>0.77827982103142457</v>
      </c>
    </row>
    <row r="241" spans="1:6" x14ac:dyDescent="0.3">
      <c r="A241" t="str">
        <f>$A$73</f>
        <v>Arts and entertainment</v>
      </c>
      <c r="B241" s="17">
        <f t="shared" ref="B241:C241" si="76">IF(AND(C$3-B$3 &lt;&gt; 0,B73&lt;&gt;0,C73&lt;&gt;0),(EXP(LN(C73/B73)/(C$3-B$3))-1)*100,0)</f>
        <v>3.4479567104180653</v>
      </c>
      <c r="C241" s="17">
        <f t="shared" si="76"/>
        <v>6.4012228098848434</v>
      </c>
      <c r="D241" s="17">
        <f t="shared" si="73"/>
        <v>-0.9934631601892896</v>
      </c>
      <c r="E241" s="17">
        <f t="shared" si="74"/>
        <v>0.4363504497247872</v>
      </c>
      <c r="F241" s="17">
        <f t="shared" si="71"/>
        <v>-4.2533795750698822E-2</v>
      </c>
    </row>
    <row r="242" spans="1:6" x14ac:dyDescent="0.3">
      <c r="A242" t="str">
        <f>$A$74</f>
        <v>Libraries, etc</v>
      </c>
      <c r="B242" s="17">
        <f t="shared" ref="B242:C242" si="77">IF(AND(C$3-B$3 &lt;&gt; 0,B74&lt;&gt;0,C74&lt;&gt;0),(EXP(LN(C74/B74)/(C$3-B$3))-1)*100,0)</f>
        <v>-1.1872889386845387</v>
      </c>
      <c r="C242" s="17">
        <f t="shared" si="77"/>
        <v>8.7947056065353237</v>
      </c>
      <c r="D242" s="17">
        <f t="shared" si="73"/>
        <v>-1.2487165221381713</v>
      </c>
      <c r="E242" s="17">
        <f t="shared" si="74"/>
        <v>0.51531656858265773</v>
      </c>
      <c r="F242" s="17">
        <f t="shared" si="71"/>
        <v>-7.6168241077423371E-2</v>
      </c>
    </row>
    <row r="243" spans="1:6" x14ac:dyDescent="0.3">
      <c r="A243" t="str">
        <f>$A$75</f>
        <v>Gambling and betting</v>
      </c>
      <c r="B243" s="17">
        <f t="shared" ref="B243:C243" si="78">IF(AND(C$3-B$3 &lt;&gt; 0,B75&lt;&gt;0,C75&lt;&gt;0),(EXP(LN(C75/B75)/(C$3-B$3))-1)*100,0)</f>
        <v>-2.1000006475043964</v>
      </c>
      <c r="C243" s="17">
        <f t="shared" si="78"/>
        <v>-4.1181665835566257</v>
      </c>
      <c r="D243" s="17">
        <f t="shared" si="73"/>
        <v>1.5308391171808156</v>
      </c>
      <c r="E243" s="17">
        <f t="shared" si="74"/>
        <v>1.0109546178939111</v>
      </c>
      <c r="F243" s="17">
        <f t="shared" si="71"/>
        <v>1.1839529928115322</v>
      </c>
    </row>
    <row r="244" spans="1:6" x14ac:dyDescent="0.3">
      <c r="A244" t="str">
        <f>$A$76</f>
        <v>Sport and recreation</v>
      </c>
      <c r="B244" s="17">
        <f t="shared" ref="B244:C244" si="79">IF(AND(C$3-B$3 &lt;&gt; 0,B76&lt;&gt;0,C76&lt;&gt;0),(EXP(LN(C76/B76)/(C$3-B$3))-1)*100,0)</f>
        <v>1.1760032785145702</v>
      </c>
      <c r="C244" s="17">
        <f t="shared" si="79"/>
        <v>-4.2204697693753346</v>
      </c>
      <c r="D244" s="17">
        <f t="shared" si="73"/>
        <v>1.5068282847657155</v>
      </c>
      <c r="E244" s="17">
        <f t="shared" si="74"/>
        <v>0.95756499249972649</v>
      </c>
      <c r="F244" s="17">
        <f t="shared" si="71"/>
        <v>1.1403217246632735</v>
      </c>
    </row>
    <row r="245" spans="1:6" x14ac:dyDescent="0.3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-0.20090210492733629</v>
      </c>
      <c r="C245" s="17">
        <f t="shared" si="80"/>
        <v>-5.3484665806428637</v>
      </c>
      <c r="D245" s="17">
        <f t="shared" si="73"/>
        <v>-0.10593492790974546</v>
      </c>
      <c r="E245" s="17">
        <f t="shared" si="74"/>
        <v>5.2423603684892406E-2</v>
      </c>
      <c r="F245" s="17">
        <f t="shared" si="71"/>
        <v>-3.9044723271208781E-4</v>
      </c>
    </row>
    <row r="246" spans="1:6" x14ac:dyDescent="0.3">
      <c r="A246" t="str">
        <f>$A$78</f>
        <v>Repair of goods</v>
      </c>
      <c r="B246" s="17">
        <f t="shared" ref="B246:C246" si="81">IF(AND(C$3-B$3 &lt;&gt; 0,B78&lt;&gt;0,C78&lt;&gt;0),(EXP(LN(C78/B78)/(C$3-B$3))-1)*100,0)</f>
        <v>1.2240255355319363</v>
      </c>
      <c r="C246" s="17">
        <f t="shared" si="81"/>
        <v>14.890731436029036</v>
      </c>
      <c r="D246" s="17">
        <f t="shared" si="73"/>
        <v>0.32995045841432979</v>
      </c>
      <c r="E246" s="17">
        <f t="shared" si="74"/>
        <v>0.33110084311729349</v>
      </c>
      <c r="F246" s="17">
        <f t="shared" si="71"/>
        <v>0.33071738008405571</v>
      </c>
    </row>
    <row r="247" spans="1:6" x14ac:dyDescent="0.3">
      <c r="A247" t="str">
        <f>$A$79</f>
        <v>Other personal service</v>
      </c>
      <c r="B247" s="17">
        <f>IF(AND(C$3-B$3 &lt;&gt; 0,B79&lt;&gt;0,C79&lt;&gt;0),(EXP(LN(C79/B79)/(C$3-B$3))-1)*100,0)</f>
        <v>1.6960592110827344</v>
      </c>
      <c r="C247" s="17">
        <f t="shared" ref="C247" si="82">IF(AND(D$3-C$3 &lt;&gt; 0,C79&lt;&gt;0,D79&lt;&gt;0),(EXP(LN(D79/C79)/(D$3-C$3))-1)*100,0)</f>
        <v>0.4160223326096002</v>
      </c>
      <c r="D247" s="17">
        <f t="shared" si="73"/>
        <v>-0.28756983491092791</v>
      </c>
      <c r="E247" s="17">
        <f t="shared" si="74"/>
        <v>5.2987988853092638E-2</v>
      </c>
      <c r="F247" s="17">
        <f t="shared" si="71"/>
        <v>-6.0660327853745422E-2</v>
      </c>
    </row>
    <row r="248" spans="1:6" x14ac:dyDescent="0.3">
      <c r="B248" s="17"/>
      <c r="C248" s="17"/>
      <c r="D248" s="17"/>
      <c r="E248" s="17"/>
      <c r="F248" s="17"/>
    </row>
    <row r="249" spans="1:6" x14ac:dyDescent="0.3">
      <c r="A249" s="23" t="str">
        <f>$A$81</f>
        <v>All industries</v>
      </c>
      <c r="B249" s="25">
        <f>IF(AND(C$3-B$3 &lt;&gt; 0,B81&lt;&gt;0,C81&lt;&gt;0),(EXP(LN(C81/B81)/(C$3-B$3))-1)*100,0)</f>
        <v>1.3311698180238585</v>
      </c>
      <c r="C249" s="25">
        <f t="shared" ref="C249" si="83">IF(AND(D$3-C$3 &lt;&gt; 0,C81&lt;&gt;0,D81&lt;&gt;0),(EXP(LN(D81/C81)/(D$3-C$3))-1)*100,0)</f>
        <v>-1.1686419909962442</v>
      </c>
      <c r="D249" s="25">
        <f>IF(AND(E$3-D$3 &lt;&gt; 0,D81&lt;&gt;0,E81&lt;&gt;0),(EXP(LN(E81/D81)/(E$3-D$3))-1)*100,0)</f>
        <v>0.59245370532130526</v>
      </c>
      <c r="E249" s="25">
        <f>IF(AND(F$3-E$3 &lt;&gt; 0,E81&lt;&gt;0,F81&lt;&gt;0),(EXP(LN(F81/E81)/(F$3-E$3))-1)*100,0)</f>
        <v>0.4196727942317624</v>
      </c>
      <c r="F249" s="25">
        <f t="shared" si="71"/>
        <v>0.477233431154378</v>
      </c>
    </row>
    <row r="253" spans="1:6" ht="15.45" x14ac:dyDescent="0.4">
      <c r="A253" s="18" t="str">
        <f>CONCATENATE($A$1," (Continued)")</f>
        <v>Industry Table 3  Employment by Industry (SIC 2007), 2015-2035, England (Continued)</v>
      </c>
    </row>
    <row r="255" spans="1:6" x14ac:dyDescent="0.3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3">
      <c r="A256" s="27" t="s">
        <v>15</v>
      </c>
    </row>
    <row r="257" spans="1:6" x14ac:dyDescent="0.3">
      <c r="A257" t="str">
        <f>$A$5</f>
        <v>Agriculture, etc</v>
      </c>
      <c r="B257" s="26">
        <f t="shared" ref="B257:E276" si="84">C5-B5</f>
        <v>7.7370000009907471</v>
      </c>
      <c r="C257" s="26">
        <f t="shared" si="84"/>
        <v>-30.707000003113421</v>
      </c>
      <c r="D257" s="26">
        <f t="shared" si="84"/>
        <v>7.2040000000221482</v>
      </c>
      <c r="E257" s="26">
        <f t="shared" si="84"/>
        <v>2.2509999993141889</v>
      </c>
      <c r="F257" s="26">
        <f>F5-D5</f>
        <v>9.4549999993363372</v>
      </c>
    </row>
    <row r="258" spans="1:6" x14ac:dyDescent="0.3">
      <c r="A258" t="str">
        <f>$A$6</f>
        <v>Coal, oil &amp; gas; Mining &amp; related</v>
      </c>
      <c r="B258" s="26">
        <f t="shared" si="84"/>
        <v>-6.4209999998805074</v>
      </c>
      <c r="C258" s="26">
        <f t="shared" si="84"/>
        <v>0.53200000002059511</v>
      </c>
      <c r="D258" s="26">
        <f t="shared" si="84"/>
        <v>-4.7579999999357732</v>
      </c>
      <c r="E258" s="26">
        <f t="shared" si="84"/>
        <v>-5.0500000000190504</v>
      </c>
      <c r="F258" s="26">
        <f t="shared" ref="F258:F321" si="85">F6-D6</f>
        <v>-9.8079999999548235</v>
      </c>
    </row>
    <row r="259" spans="1:6" x14ac:dyDescent="0.3">
      <c r="A259" t="str">
        <f>$A$7</f>
        <v>Food products</v>
      </c>
      <c r="B259" s="26">
        <f t="shared" si="84"/>
        <v>20.743999999103096</v>
      </c>
      <c r="C259" s="26">
        <f t="shared" si="84"/>
        <v>-0.53400000001613535</v>
      </c>
      <c r="D259" s="26">
        <f t="shared" si="84"/>
        <v>4.2880000035992794</v>
      </c>
      <c r="E259" s="26">
        <f t="shared" si="84"/>
        <v>-8.5340000044326416</v>
      </c>
      <c r="F259" s="26">
        <f t="shared" si="85"/>
        <v>-4.2460000008333623</v>
      </c>
    </row>
    <row r="260" spans="1:6" x14ac:dyDescent="0.3">
      <c r="A260" t="str">
        <f>$A$8</f>
        <v>Beverages and tobacco</v>
      </c>
      <c r="B260" s="26">
        <f t="shared" si="84"/>
        <v>6.7690000000003216</v>
      </c>
      <c r="C260" s="26">
        <f t="shared" si="84"/>
        <v>1.4019999998828041</v>
      </c>
      <c r="D260" s="26">
        <f t="shared" si="84"/>
        <v>0.21500000026676958</v>
      </c>
      <c r="E260" s="26">
        <f t="shared" si="84"/>
        <v>-1.1850000002855268</v>
      </c>
      <c r="F260" s="26">
        <f t="shared" si="85"/>
        <v>-0.97000000001875719</v>
      </c>
    </row>
    <row r="261" spans="1:6" x14ac:dyDescent="0.3">
      <c r="A261" t="str">
        <f>$A$9</f>
        <v>Textiles</v>
      </c>
      <c r="B261" s="26">
        <f t="shared" si="84"/>
        <v>4.4289999998702783</v>
      </c>
      <c r="C261" s="26">
        <f t="shared" si="84"/>
        <v>2.9339999999483481</v>
      </c>
      <c r="D261" s="26">
        <f t="shared" si="84"/>
        <v>-6.5809999995173527</v>
      </c>
      <c r="E261" s="26">
        <f t="shared" si="84"/>
        <v>-7.2560000004169396</v>
      </c>
      <c r="F261" s="26">
        <f t="shared" si="85"/>
        <v>-13.836999999934292</v>
      </c>
    </row>
    <row r="262" spans="1:6" x14ac:dyDescent="0.3">
      <c r="A262" t="str">
        <f>$A$10</f>
        <v>Wearing apparel; Leather, etc</v>
      </c>
      <c r="B262" s="26">
        <f t="shared" si="84"/>
        <v>-4.0600000001814465</v>
      </c>
      <c r="C262" s="26">
        <f t="shared" si="84"/>
        <v>4.9179999998206512</v>
      </c>
      <c r="D262" s="26">
        <f t="shared" si="84"/>
        <v>-5.6619999998006847</v>
      </c>
      <c r="E262" s="26">
        <f t="shared" si="84"/>
        <v>-5.9870000001236221</v>
      </c>
      <c r="F262" s="26">
        <f t="shared" si="85"/>
        <v>-11.648999999924307</v>
      </c>
    </row>
    <row r="263" spans="1:6" x14ac:dyDescent="0.3">
      <c r="A263" t="str">
        <f>$A$11</f>
        <v xml:space="preserve">Wood and cork </v>
      </c>
      <c r="B263" s="26">
        <f t="shared" si="84"/>
        <v>7.7240000003178011</v>
      </c>
      <c r="C263" s="26">
        <f t="shared" si="84"/>
        <v>2.6299999996916767</v>
      </c>
      <c r="D263" s="26">
        <f t="shared" si="84"/>
        <v>-0.36400000007267863</v>
      </c>
      <c r="E263" s="26">
        <f t="shared" si="84"/>
        <v>-2.84599999993182</v>
      </c>
      <c r="F263" s="26">
        <f t="shared" si="85"/>
        <v>-3.2100000000044986</v>
      </c>
    </row>
    <row r="264" spans="1:6" x14ac:dyDescent="0.3">
      <c r="A264" t="str">
        <f>$A$12</f>
        <v>Paper, etc</v>
      </c>
      <c r="B264" s="26">
        <f t="shared" si="84"/>
        <v>-8.2940000001431429</v>
      </c>
      <c r="C264" s="26">
        <f t="shared" si="84"/>
        <v>-5.1899999999072222</v>
      </c>
      <c r="D264" s="26">
        <f t="shared" si="84"/>
        <v>-0.10399999978538688</v>
      </c>
      <c r="E264" s="26">
        <f t="shared" si="84"/>
        <v>-1.4870000001650254</v>
      </c>
      <c r="F264" s="26">
        <f t="shared" si="85"/>
        <v>-1.5909999999504123</v>
      </c>
    </row>
    <row r="265" spans="1:6" x14ac:dyDescent="0.3">
      <c r="A265" t="str">
        <f>$A$13</f>
        <v>Printing and recording</v>
      </c>
      <c r="B265" s="26">
        <f t="shared" si="84"/>
        <v>-23.678000000196633</v>
      </c>
      <c r="C265" s="26">
        <f t="shared" si="84"/>
        <v>-4.1619999998149524</v>
      </c>
      <c r="D265" s="26">
        <f t="shared" si="84"/>
        <v>-5.9949999993239516</v>
      </c>
      <c r="E265" s="26">
        <f t="shared" si="84"/>
        <v>-11.582000000426461</v>
      </c>
      <c r="F265" s="26">
        <f t="shared" si="85"/>
        <v>-17.576999999750413</v>
      </c>
    </row>
    <row r="266" spans="1:6" x14ac:dyDescent="0.3">
      <c r="A266" t="str">
        <f>$A$14</f>
        <v>Coke and petroleum; Chemicals, etc</v>
      </c>
      <c r="B266" s="26">
        <f t="shared" si="84"/>
        <v>9.2499999999170655</v>
      </c>
      <c r="C266" s="26">
        <f t="shared" si="84"/>
        <v>-2.2810000000298771</v>
      </c>
      <c r="D266" s="26">
        <f t="shared" si="84"/>
        <v>-5.511999999008026</v>
      </c>
      <c r="E266" s="26">
        <f t="shared" si="84"/>
        <v>-7.8340000006082846</v>
      </c>
      <c r="F266" s="26">
        <f t="shared" si="85"/>
        <v>-13.345999999616311</v>
      </c>
    </row>
    <row r="267" spans="1:6" x14ac:dyDescent="0.3">
      <c r="A267" t="str">
        <f>$A$15</f>
        <v>Pharmaceuticals</v>
      </c>
      <c r="B267" s="26">
        <f t="shared" si="84"/>
        <v>4.3559999999099475</v>
      </c>
      <c r="C267" s="26">
        <f t="shared" si="84"/>
        <v>1.9100000000330368</v>
      </c>
      <c r="D267" s="26">
        <f t="shared" si="84"/>
        <v>3.2720000003404053</v>
      </c>
      <c r="E267" s="26">
        <f t="shared" si="84"/>
        <v>-1.3430000000915356</v>
      </c>
      <c r="F267" s="26">
        <f t="shared" si="85"/>
        <v>1.9290000002488696</v>
      </c>
    </row>
    <row r="268" spans="1:6" x14ac:dyDescent="0.3">
      <c r="A268" t="str">
        <f>$A$16</f>
        <v>Rubber and plastic</v>
      </c>
      <c r="B268" s="26">
        <f t="shared" si="84"/>
        <v>-9.1000000003372463</v>
      </c>
      <c r="C268" s="26">
        <f t="shared" si="84"/>
        <v>9.5230000001490396</v>
      </c>
      <c r="D268" s="26">
        <f t="shared" si="84"/>
        <v>-2.4859999989047026</v>
      </c>
      <c r="E268" s="26">
        <f t="shared" si="84"/>
        <v>-16.824000000896604</v>
      </c>
      <c r="F268" s="26">
        <f t="shared" si="85"/>
        <v>-19.309999999801306</v>
      </c>
    </row>
    <row r="269" spans="1:6" x14ac:dyDescent="0.3">
      <c r="A269" t="str">
        <f>$A$17</f>
        <v>Other non-metallic</v>
      </c>
      <c r="B269" s="26">
        <f t="shared" si="84"/>
        <v>7.6690000000573946</v>
      </c>
      <c r="C269" s="26">
        <f t="shared" si="84"/>
        <v>0.99300000003415789</v>
      </c>
      <c r="D269" s="26">
        <f t="shared" si="84"/>
        <v>-1.402999999550218</v>
      </c>
      <c r="E269" s="26">
        <f t="shared" si="84"/>
        <v>-8.9760000004831113</v>
      </c>
      <c r="F269" s="26">
        <f t="shared" si="85"/>
        <v>-10.379000000033329</v>
      </c>
    </row>
    <row r="270" spans="1:6" x14ac:dyDescent="0.3">
      <c r="A270" t="str">
        <f>$A$18</f>
        <v>Basic metals</v>
      </c>
      <c r="B270" s="26">
        <f t="shared" si="84"/>
        <v>3.962999999936244</v>
      </c>
      <c r="C270" s="26">
        <f t="shared" si="84"/>
        <v>-9.0889999999514686</v>
      </c>
      <c r="D270" s="26">
        <f t="shared" si="84"/>
        <v>-1.2929999998252057</v>
      </c>
      <c r="E270" s="26">
        <f t="shared" si="84"/>
        <v>-5.661000000137868</v>
      </c>
      <c r="F270" s="26">
        <f t="shared" si="85"/>
        <v>-6.9539999999630737</v>
      </c>
    </row>
    <row r="271" spans="1:6" x14ac:dyDescent="0.3">
      <c r="A271" t="str">
        <f>$A$19</f>
        <v>Metal products</v>
      </c>
      <c r="B271" s="26">
        <f t="shared" si="84"/>
        <v>-8.9070000001326548</v>
      </c>
      <c r="C271" s="26">
        <f t="shared" si="84"/>
        <v>-33.440999999986872</v>
      </c>
      <c r="D271" s="26">
        <f t="shared" si="84"/>
        <v>-6.9259999986710739</v>
      </c>
      <c r="E271" s="26">
        <f t="shared" si="84"/>
        <v>-28.21500000089469</v>
      </c>
      <c r="F271" s="26">
        <f t="shared" si="85"/>
        <v>-35.140999999565764</v>
      </c>
    </row>
    <row r="272" spans="1:6" x14ac:dyDescent="0.3">
      <c r="A272" t="str">
        <f>$A$20</f>
        <v>Computer, etc</v>
      </c>
      <c r="B272" s="26">
        <f t="shared" si="84"/>
        <v>2.0009999999503805</v>
      </c>
      <c r="C272" s="26">
        <f t="shared" si="84"/>
        <v>3.9280000000369029</v>
      </c>
      <c r="D272" s="26">
        <f t="shared" si="84"/>
        <v>3.9730000009223829</v>
      </c>
      <c r="E272" s="26">
        <f t="shared" si="84"/>
        <v>-16.061000000496136</v>
      </c>
      <c r="F272" s="26">
        <f t="shared" si="85"/>
        <v>-12.087999999573753</v>
      </c>
    </row>
    <row r="273" spans="1:6" x14ac:dyDescent="0.3">
      <c r="A273" t="str">
        <f>$A$21</f>
        <v>Electrical equipment</v>
      </c>
      <c r="B273" s="26">
        <f t="shared" si="84"/>
        <v>-6.8149999998890962</v>
      </c>
      <c r="C273" s="26">
        <f t="shared" si="84"/>
        <v>-7.7080000000335716</v>
      </c>
      <c r="D273" s="26">
        <f t="shared" si="84"/>
        <v>-1.4239999995391912</v>
      </c>
      <c r="E273" s="26">
        <f t="shared" si="84"/>
        <v>-2.7530000002889636</v>
      </c>
      <c r="F273" s="26">
        <f t="shared" si="85"/>
        <v>-4.1769999998281548</v>
      </c>
    </row>
    <row r="274" spans="1:6" x14ac:dyDescent="0.3">
      <c r="A274" t="str">
        <f>$A$22</f>
        <v>Machinery n.e.c.</v>
      </c>
      <c r="B274" s="26">
        <f t="shared" si="84"/>
        <v>12.36100000011561</v>
      </c>
      <c r="C274" s="26">
        <f t="shared" si="84"/>
        <v>-12.266000000083125</v>
      </c>
      <c r="D274" s="26">
        <f t="shared" si="84"/>
        <v>3.7800000009747805</v>
      </c>
      <c r="E274" s="26">
        <f t="shared" si="84"/>
        <v>-19.995000000492269</v>
      </c>
      <c r="F274" s="26">
        <f t="shared" si="85"/>
        <v>-16.214999999517488</v>
      </c>
    </row>
    <row r="275" spans="1:6" x14ac:dyDescent="0.3">
      <c r="A275" t="str">
        <f>$A$23</f>
        <v>Motor vehicles, etc</v>
      </c>
      <c r="B275" s="26">
        <f t="shared" si="84"/>
        <v>13.061999999496493</v>
      </c>
      <c r="C275" s="26">
        <f t="shared" si="84"/>
        <v>-18.328999999877027</v>
      </c>
      <c r="D275" s="26">
        <f t="shared" si="84"/>
        <v>-0.72399999918948765</v>
      </c>
      <c r="E275" s="26">
        <f t="shared" si="84"/>
        <v>-9.5260000004952445</v>
      </c>
      <c r="F275" s="26">
        <f t="shared" si="85"/>
        <v>-10.249999999684732</v>
      </c>
    </row>
    <row r="276" spans="1:6" x14ac:dyDescent="0.3">
      <c r="A276" t="str">
        <f>$A$24</f>
        <v>Other transport equipment</v>
      </c>
      <c r="B276" s="26">
        <f t="shared" si="84"/>
        <v>5.6750000001854062</v>
      </c>
      <c r="C276" s="26">
        <f t="shared" si="84"/>
        <v>0.25399999987348565</v>
      </c>
      <c r="D276" s="26">
        <f t="shared" si="84"/>
        <v>-17.00499999943338</v>
      </c>
      <c r="E276" s="26">
        <f t="shared" si="84"/>
        <v>-0.46600000022046117</v>
      </c>
      <c r="F276" s="26">
        <f t="shared" si="85"/>
        <v>-17.470999999653841</v>
      </c>
    </row>
    <row r="277" spans="1:6" x14ac:dyDescent="0.3">
      <c r="A277" t="str">
        <f>$A$25</f>
        <v>Furniture</v>
      </c>
      <c r="B277" s="26">
        <f t="shared" ref="B277:E296" si="86">C25-B25</f>
        <v>1.8969999999916496</v>
      </c>
      <c r="C277" s="26">
        <f t="shared" si="86"/>
        <v>2.7680000000164426</v>
      </c>
      <c r="D277" s="26">
        <f t="shared" si="86"/>
        <v>-10.678999999547301</v>
      </c>
      <c r="E277" s="26">
        <f t="shared" si="86"/>
        <v>-4.484000000340771</v>
      </c>
      <c r="F277" s="26">
        <f t="shared" si="85"/>
        <v>-15.162999999888072</v>
      </c>
    </row>
    <row r="278" spans="1:6" x14ac:dyDescent="0.3">
      <c r="A278" t="str">
        <f>$A$26</f>
        <v>Other manufacturing</v>
      </c>
      <c r="B278" s="26">
        <f t="shared" si="86"/>
        <v>-0.19700000017996899</v>
      </c>
      <c r="C278" s="26">
        <f t="shared" si="86"/>
        <v>3.4619999999425062</v>
      </c>
      <c r="D278" s="26">
        <f t="shared" si="86"/>
        <v>-11.330999999150862</v>
      </c>
      <c r="E278" s="26">
        <f t="shared" si="86"/>
        <v>-4.710000000600985</v>
      </c>
      <c r="F278" s="26">
        <f t="shared" si="85"/>
        <v>-16.040999999751847</v>
      </c>
    </row>
    <row r="279" spans="1:6" x14ac:dyDescent="0.3">
      <c r="A279" t="str">
        <f>$A$27</f>
        <v>Repair and installation</v>
      </c>
      <c r="B279" s="26">
        <f t="shared" si="86"/>
        <v>17.958999999934335</v>
      </c>
      <c r="C279" s="26">
        <f t="shared" si="86"/>
        <v>12.237999999752333</v>
      </c>
      <c r="D279" s="26">
        <f t="shared" si="86"/>
        <v>-15.725999999497716</v>
      </c>
      <c r="E279" s="26">
        <f t="shared" si="86"/>
        <v>-5.8370000002397973</v>
      </c>
      <c r="F279" s="26">
        <f t="shared" si="85"/>
        <v>-21.562999999737514</v>
      </c>
    </row>
    <row r="280" spans="1:6" x14ac:dyDescent="0.3">
      <c r="A280" t="str">
        <f>$A$28</f>
        <v>Electricity, gas, etc</v>
      </c>
      <c r="B280" s="26">
        <f t="shared" si="86"/>
        <v>20.216999999905951</v>
      </c>
      <c r="C280" s="26">
        <f t="shared" si="86"/>
        <v>-0.27199999999213276</v>
      </c>
      <c r="D280" s="26">
        <f t="shared" si="86"/>
        <v>-4.4819999986259944</v>
      </c>
      <c r="E280" s="26">
        <f t="shared" si="86"/>
        <v>-0.75500000125141753</v>
      </c>
      <c r="F280" s="26">
        <f t="shared" si="85"/>
        <v>-5.2369999998774119</v>
      </c>
    </row>
    <row r="281" spans="1:6" x14ac:dyDescent="0.3">
      <c r="A281" t="str">
        <f>$A$29</f>
        <v>Water</v>
      </c>
      <c r="B281" s="26">
        <f t="shared" si="86"/>
        <v>6.6769999999850391</v>
      </c>
      <c r="C281" s="26">
        <f t="shared" si="86"/>
        <v>-2.1599999999970976</v>
      </c>
      <c r="D281" s="26">
        <f t="shared" si="86"/>
        <v>1.8870000003845249</v>
      </c>
      <c r="E281" s="26">
        <f t="shared" si="86"/>
        <v>3.0479999997549996</v>
      </c>
      <c r="F281" s="26">
        <f t="shared" si="85"/>
        <v>4.9350000001395244</v>
      </c>
    </row>
    <row r="282" spans="1:6" x14ac:dyDescent="0.3">
      <c r="A282" t="str">
        <f>$A$30</f>
        <v>Sewerage</v>
      </c>
      <c r="B282" s="26">
        <f t="shared" si="86"/>
        <v>-0.55900000004645634</v>
      </c>
      <c r="C282" s="26">
        <f t="shared" si="86"/>
        <v>-1.8849999999992129</v>
      </c>
      <c r="D282" s="26">
        <f t="shared" si="86"/>
        <v>1.0460000001490641</v>
      </c>
      <c r="E282" s="26">
        <f t="shared" si="86"/>
        <v>1.70899999997458</v>
      </c>
      <c r="F282" s="26">
        <f t="shared" si="85"/>
        <v>2.7550000001236441</v>
      </c>
    </row>
    <row r="283" spans="1:6" x14ac:dyDescent="0.3">
      <c r="A283" t="str">
        <f>$A$31</f>
        <v>Waste management</v>
      </c>
      <c r="B283" s="26">
        <f t="shared" si="86"/>
        <v>16.110000000036649</v>
      </c>
      <c r="C283" s="26">
        <f t="shared" si="86"/>
        <v>-9.9210000002629783</v>
      </c>
      <c r="D283" s="26">
        <f t="shared" si="86"/>
        <v>5.8450000005534832</v>
      </c>
      <c r="E283" s="26">
        <f t="shared" si="86"/>
        <v>9.2959999998165586</v>
      </c>
      <c r="F283" s="26">
        <f t="shared" si="85"/>
        <v>15.141000000370042</v>
      </c>
    </row>
    <row r="284" spans="1:6" x14ac:dyDescent="0.3">
      <c r="A284" t="str">
        <f>$A$32</f>
        <v>Construction</v>
      </c>
      <c r="B284" s="26">
        <f t="shared" si="86"/>
        <v>99.068000011041477</v>
      </c>
      <c r="C284" s="26">
        <f t="shared" si="86"/>
        <v>6.2089999846667752</v>
      </c>
      <c r="D284" s="26">
        <f t="shared" si="86"/>
        <v>36.626999988881721</v>
      </c>
      <c r="E284" s="26">
        <f t="shared" si="86"/>
        <v>57.073000003234597</v>
      </c>
      <c r="F284" s="26">
        <f t="shared" si="85"/>
        <v>93.699999992116318</v>
      </c>
    </row>
    <row r="285" spans="1:6" x14ac:dyDescent="0.3">
      <c r="A285" t="str">
        <f>$A$33</f>
        <v>Civil engineering</v>
      </c>
      <c r="B285" s="26">
        <f t="shared" si="86"/>
        <v>15.69800000531103</v>
      </c>
      <c r="C285" s="26">
        <f t="shared" si="86"/>
        <v>-1.3990000060791203</v>
      </c>
      <c r="D285" s="26">
        <f t="shared" si="86"/>
        <v>11.659999994122074</v>
      </c>
      <c r="E285" s="26">
        <f t="shared" si="86"/>
        <v>18.517000002048974</v>
      </c>
      <c r="F285" s="26">
        <f t="shared" si="85"/>
        <v>30.176999996171048</v>
      </c>
    </row>
    <row r="286" spans="1:6" x14ac:dyDescent="0.3">
      <c r="A286" t="str">
        <f>$A$34</f>
        <v>Specialised construction</v>
      </c>
      <c r="B286" s="26">
        <f t="shared" si="86"/>
        <v>81.637000020782807</v>
      </c>
      <c r="C286" s="26">
        <f t="shared" si="86"/>
        <v>-1.7720000243868981</v>
      </c>
      <c r="D286" s="26">
        <f t="shared" si="86"/>
        <v>49.868999976579971</v>
      </c>
      <c r="E286" s="26">
        <f t="shared" si="86"/>
        <v>78.376000008269784</v>
      </c>
      <c r="F286" s="26">
        <f t="shared" si="85"/>
        <v>128.24499998484976</v>
      </c>
    </row>
    <row r="287" spans="1:6" x14ac:dyDescent="0.3">
      <c r="A287" t="str">
        <f>$A$35</f>
        <v>Motor vehicle trade</v>
      </c>
      <c r="B287" s="26">
        <f t="shared" si="86"/>
        <v>71.824000000544686</v>
      </c>
      <c r="C287" s="26">
        <f t="shared" si="86"/>
        <v>-47.882000003000599</v>
      </c>
      <c r="D287" s="26">
        <f t="shared" si="86"/>
        <v>15.547000002136883</v>
      </c>
      <c r="E287" s="26">
        <f t="shared" si="86"/>
        <v>21.008999997773003</v>
      </c>
      <c r="F287" s="26">
        <f t="shared" si="85"/>
        <v>36.555999999909886</v>
      </c>
    </row>
    <row r="288" spans="1:6" x14ac:dyDescent="0.3">
      <c r="A288" t="str">
        <f>$A$36</f>
        <v>Wholesale trade</v>
      </c>
      <c r="B288" s="26">
        <f t="shared" si="86"/>
        <v>37.165999995439734</v>
      </c>
      <c r="C288" s="26">
        <f t="shared" si="86"/>
        <v>-10.302000003091507</v>
      </c>
      <c r="D288" s="26">
        <f t="shared" si="86"/>
        <v>13.41000001375437</v>
      </c>
      <c r="E288" s="26">
        <f t="shared" si="86"/>
        <v>6.8339999842821726</v>
      </c>
      <c r="F288" s="26">
        <f t="shared" si="85"/>
        <v>20.243999998036543</v>
      </c>
    </row>
    <row r="289" spans="1:6" x14ac:dyDescent="0.3">
      <c r="A289" t="str">
        <f>$A$37</f>
        <v>Retail trade</v>
      </c>
      <c r="B289" s="26">
        <f t="shared" si="86"/>
        <v>-59.795000017048551</v>
      </c>
      <c r="C289" s="26">
        <f t="shared" si="86"/>
        <v>26.604999985988798</v>
      </c>
      <c r="D289" s="26">
        <f t="shared" si="86"/>
        <v>-4.9539999544890634</v>
      </c>
      <c r="E289" s="26">
        <f t="shared" si="86"/>
        <v>16.994999908458794</v>
      </c>
      <c r="F289" s="26">
        <f t="shared" si="85"/>
        <v>12.040999953969731</v>
      </c>
    </row>
    <row r="290" spans="1:6" x14ac:dyDescent="0.3">
      <c r="A290" t="str">
        <f>$A$38</f>
        <v>Land transport, etc</v>
      </c>
      <c r="B290" s="26">
        <f t="shared" si="86"/>
        <v>106.07299998192241</v>
      </c>
      <c r="C290" s="26">
        <f t="shared" si="86"/>
        <v>-40.811999985574175</v>
      </c>
      <c r="D290" s="26">
        <f t="shared" si="86"/>
        <v>62.73700001287375</v>
      </c>
      <c r="E290" s="26">
        <f t="shared" si="86"/>
        <v>7.2399999943929743</v>
      </c>
      <c r="F290" s="26">
        <f t="shared" si="85"/>
        <v>69.977000007266724</v>
      </c>
    </row>
    <row r="291" spans="1:6" x14ac:dyDescent="0.3">
      <c r="A291" t="str">
        <f>$A$39</f>
        <v>Water transport</v>
      </c>
      <c r="B291" s="26">
        <f t="shared" si="86"/>
        <v>1.8490000000282709</v>
      </c>
      <c r="C291" s="26">
        <f t="shared" si="86"/>
        <v>-5.8000000051695366E-2</v>
      </c>
      <c r="D291" s="26">
        <f t="shared" si="86"/>
        <v>-2.5899999998425187</v>
      </c>
      <c r="E291" s="26">
        <f t="shared" si="86"/>
        <v>-0.80400000014402906</v>
      </c>
      <c r="F291" s="26">
        <f t="shared" si="85"/>
        <v>-3.3939999999865478</v>
      </c>
    </row>
    <row r="292" spans="1:6" x14ac:dyDescent="0.3">
      <c r="A292" t="str">
        <f>$A$40</f>
        <v>Air transport</v>
      </c>
      <c r="B292" s="26">
        <f t="shared" si="86"/>
        <v>4.6289999998362532</v>
      </c>
      <c r="C292" s="26">
        <f t="shared" si="86"/>
        <v>-4.9950000005826212</v>
      </c>
      <c r="D292" s="26">
        <f t="shared" si="86"/>
        <v>2.7210000007047341</v>
      </c>
      <c r="E292" s="26">
        <f t="shared" si="86"/>
        <v>0.99799999926183602</v>
      </c>
      <c r="F292" s="26">
        <f t="shared" si="85"/>
        <v>3.7189999999665702</v>
      </c>
    </row>
    <row r="293" spans="1:6" x14ac:dyDescent="0.3">
      <c r="A293" t="str">
        <f>$A$41</f>
        <v>Warehousing, etc</v>
      </c>
      <c r="B293" s="26">
        <f t="shared" si="86"/>
        <v>63.123999998682223</v>
      </c>
      <c r="C293" s="26">
        <f t="shared" si="86"/>
        <v>18.268999998676691</v>
      </c>
      <c r="D293" s="26">
        <f t="shared" si="86"/>
        <v>26.437000003431251</v>
      </c>
      <c r="E293" s="26">
        <f t="shared" si="86"/>
        <v>14.111999996635745</v>
      </c>
      <c r="F293" s="26">
        <f t="shared" si="85"/>
        <v>40.549000000066997</v>
      </c>
    </row>
    <row r="294" spans="1:6" x14ac:dyDescent="0.3">
      <c r="A294" t="str">
        <f>$A$42</f>
        <v>Postal and courier</v>
      </c>
      <c r="B294" s="26">
        <f t="shared" si="86"/>
        <v>19.434999999355256</v>
      </c>
      <c r="C294" s="26">
        <f t="shared" si="86"/>
        <v>15.618999998579397</v>
      </c>
      <c r="D294" s="26">
        <f t="shared" si="86"/>
        <v>15.906000003659017</v>
      </c>
      <c r="E294" s="26">
        <f t="shared" si="86"/>
        <v>11.430999994681201</v>
      </c>
      <c r="F294" s="26">
        <f t="shared" si="85"/>
        <v>27.336999998340218</v>
      </c>
    </row>
    <row r="295" spans="1:6" x14ac:dyDescent="0.3">
      <c r="A295" t="str">
        <f>$A$43</f>
        <v>Accommodation</v>
      </c>
      <c r="B295" s="26">
        <f t="shared" si="86"/>
        <v>48.634000000274341</v>
      </c>
      <c r="C295" s="26">
        <f t="shared" si="86"/>
        <v>-36.390000003712089</v>
      </c>
      <c r="D295" s="26">
        <f t="shared" si="86"/>
        <v>46.426000007645825</v>
      </c>
      <c r="E295" s="26">
        <f t="shared" si="86"/>
        <v>40.393999988150085</v>
      </c>
      <c r="F295" s="26">
        <f t="shared" si="85"/>
        <v>86.819999995795911</v>
      </c>
    </row>
    <row r="296" spans="1:6" x14ac:dyDescent="0.3">
      <c r="A296" t="str">
        <f>$A$44</f>
        <v>Food and beverage services</v>
      </c>
      <c r="B296" s="26">
        <f t="shared" si="86"/>
        <v>189.91499999827056</v>
      </c>
      <c r="C296" s="26">
        <f t="shared" si="86"/>
        <v>-49.459000016566733</v>
      </c>
      <c r="D296" s="26">
        <f t="shared" si="86"/>
        <v>50.956000024443483</v>
      </c>
      <c r="E296" s="26">
        <f t="shared" si="86"/>
        <v>267.4849999585706</v>
      </c>
      <c r="F296" s="26">
        <f t="shared" si="85"/>
        <v>318.44099998301408</v>
      </c>
    </row>
    <row r="297" spans="1:6" x14ac:dyDescent="0.3">
      <c r="A297" t="str">
        <f>$A$45</f>
        <v>Publishing activities</v>
      </c>
      <c r="B297" s="26">
        <f t="shared" ref="B297:E297" si="87">C45-B45</f>
        <v>-17.016000000271475</v>
      </c>
      <c r="C297" s="26">
        <f t="shared" si="87"/>
        <v>2.211000000718542</v>
      </c>
      <c r="D297" s="26">
        <f t="shared" si="87"/>
        <v>0.70500000202503088</v>
      </c>
      <c r="E297" s="26">
        <f t="shared" si="87"/>
        <v>0.40799999913767238</v>
      </c>
      <c r="F297" s="26">
        <f t="shared" si="85"/>
        <v>1.1130000011627033</v>
      </c>
    </row>
    <row r="298" spans="1:6" x14ac:dyDescent="0.3">
      <c r="A298" t="str">
        <f>$A$46</f>
        <v>Film and music</v>
      </c>
      <c r="B298" s="26">
        <f t="shared" ref="B298:C322" si="88">C46-B46</f>
        <v>17.479999999479304</v>
      </c>
      <c r="C298" s="26">
        <f t="shared" si="88"/>
        <v>1.600000082711972E-2</v>
      </c>
      <c r="D298" s="26">
        <f t="shared" ref="D298:E298" si="89">E46-D46</f>
        <v>2.8680000019283796</v>
      </c>
      <c r="E298" s="26">
        <f t="shared" si="89"/>
        <v>3.180999999045099</v>
      </c>
      <c r="F298" s="26">
        <f t="shared" si="85"/>
        <v>6.0490000009734786</v>
      </c>
    </row>
    <row r="299" spans="1:6" x14ac:dyDescent="0.3">
      <c r="A299" t="str">
        <f>$A$47</f>
        <v>Broadcasting</v>
      </c>
      <c r="B299" s="26">
        <f t="shared" si="88"/>
        <v>5.2489999999317831</v>
      </c>
      <c r="C299" s="26">
        <f t="shared" si="88"/>
        <v>0.98700000030760293</v>
      </c>
      <c r="D299" s="26">
        <f t="shared" ref="D299:E299" si="90">E47-D47</f>
        <v>0.79100000069363574</v>
      </c>
      <c r="E299" s="26">
        <f t="shared" si="90"/>
        <v>0.29199999977546298</v>
      </c>
      <c r="F299" s="26">
        <f t="shared" si="85"/>
        <v>1.0830000004690987</v>
      </c>
    </row>
    <row r="300" spans="1:6" x14ac:dyDescent="0.3">
      <c r="A300" t="str">
        <f>$A$48</f>
        <v>Telecommunications</v>
      </c>
      <c r="B300" s="26">
        <f t="shared" si="88"/>
        <v>-11.637999999683444</v>
      </c>
      <c r="C300" s="26">
        <f t="shared" si="88"/>
        <v>-5.9159999996883244</v>
      </c>
      <c r="D300" s="26">
        <f t="shared" ref="D300:E300" si="91">E48-D48</f>
        <v>12.525000002225966</v>
      </c>
      <c r="E300" s="26">
        <f t="shared" si="91"/>
        <v>14.136999998558252</v>
      </c>
      <c r="F300" s="26">
        <f t="shared" si="85"/>
        <v>26.662000000784218</v>
      </c>
    </row>
    <row r="301" spans="1:6" x14ac:dyDescent="0.3">
      <c r="A301" t="str">
        <f>$A$49</f>
        <v>Computing services</v>
      </c>
      <c r="B301" s="26">
        <f t="shared" si="88"/>
        <v>78.475999999613578</v>
      </c>
      <c r="C301" s="26">
        <f t="shared" si="88"/>
        <v>8.5240000059528711</v>
      </c>
      <c r="D301" s="26">
        <f t="shared" ref="D301:E301" si="92">E49-D49</f>
        <v>54.762000008411746</v>
      </c>
      <c r="E301" s="26">
        <f t="shared" si="92"/>
        <v>63.15899999421265</v>
      </c>
      <c r="F301" s="26">
        <f t="shared" si="85"/>
        <v>117.9210000026244</v>
      </c>
    </row>
    <row r="302" spans="1:6" x14ac:dyDescent="0.3">
      <c r="A302" t="str">
        <f>$A$50</f>
        <v>Information services</v>
      </c>
      <c r="B302" s="26">
        <f t="shared" si="88"/>
        <v>-7.6589999999766007</v>
      </c>
      <c r="C302" s="26">
        <f t="shared" si="88"/>
        <v>3.4260000005314168</v>
      </c>
      <c r="D302" s="26">
        <f t="shared" ref="D302:E302" si="93">E50-D50</f>
        <v>7.3620000010162698</v>
      </c>
      <c r="E302" s="26">
        <f t="shared" si="93"/>
        <v>8.8679999992387764</v>
      </c>
      <c r="F302" s="26">
        <f t="shared" si="85"/>
        <v>16.230000000255046</v>
      </c>
    </row>
    <row r="303" spans="1:6" x14ac:dyDescent="0.3">
      <c r="A303" t="str">
        <f>$A$51</f>
        <v>Financial services</v>
      </c>
      <c r="B303" s="26">
        <f t="shared" si="88"/>
        <v>-10.78500000008836</v>
      </c>
      <c r="C303" s="26">
        <f t="shared" si="88"/>
        <v>-5.5999999971314764</v>
      </c>
      <c r="D303" s="26">
        <f t="shared" ref="D303:E303" si="94">E51-D51</f>
        <v>-2.7999992860202383E-2</v>
      </c>
      <c r="E303" s="26">
        <f t="shared" si="94"/>
        <v>-9.4920000038213175</v>
      </c>
      <c r="F303" s="26">
        <f t="shared" si="85"/>
        <v>-9.5199999966815199</v>
      </c>
    </row>
    <row r="304" spans="1:6" x14ac:dyDescent="0.3">
      <c r="A304" t="str">
        <f>$A$52</f>
        <v>Insurance and pensions</v>
      </c>
      <c r="B304" s="26">
        <f t="shared" si="88"/>
        <v>13.398999999732681</v>
      </c>
      <c r="C304" s="26">
        <f t="shared" si="88"/>
        <v>-0.89499999951456743</v>
      </c>
      <c r="D304" s="26">
        <f t="shared" ref="D304:E304" si="95">E52-D52</f>
        <v>-1.1729999978687573</v>
      </c>
      <c r="E304" s="26">
        <f t="shared" si="95"/>
        <v>-4.8480000012972937</v>
      </c>
      <c r="F304" s="26">
        <f t="shared" si="85"/>
        <v>-6.020999999166051</v>
      </c>
    </row>
    <row r="305" spans="1:6" x14ac:dyDescent="0.3">
      <c r="A305" t="str">
        <f>$A$53</f>
        <v>Auxiliary financial services</v>
      </c>
      <c r="B305" s="26">
        <f t="shared" si="88"/>
        <v>21.429999999407698</v>
      </c>
      <c r="C305" s="26">
        <f t="shared" si="88"/>
        <v>13.347000003788764</v>
      </c>
      <c r="D305" s="26">
        <f t="shared" ref="D305:E305" si="96">E53-D53</f>
        <v>2.8640000079621473</v>
      </c>
      <c r="E305" s="26">
        <f t="shared" si="96"/>
        <v>-10.708000004218604</v>
      </c>
      <c r="F305" s="26">
        <f t="shared" si="85"/>
        <v>-7.8439999962564571</v>
      </c>
    </row>
    <row r="306" spans="1:6" x14ac:dyDescent="0.3">
      <c r="A306" t="str">
        <f>$A$54</f>
        <v>Real estate</v>
      </c>
      <c r="B306" s="26">
        <f t="shared" si="88"/>
        <v>12.531000000472375</v>
      </c>
      <c r="C306" s="26">
        <f t="shared" si="88"/>
        <v>53.844999999348147</v>
      </c>
      <c r="D306" s="26">
        <f t="shared" ref="D306:E306" si="97">E54-D54</f>
        <v>-18.035999993467613</v>
      </c>
      <c r="E306" s="26">
        <f t="shared" si="97"/>
        <v>49.814999995145513</v>
      </c>
      <c r="F306" s="26">
        <f t="shared" si="85"/>
        <v>31.7790000016779</v>
      </c>
    </row>
    <row r="307" spans="1:6" x14ac:dyDescent="0.3">
      <c r="A307" t="str">
        <f>$A$55</f>
        <v>Legal and accounting</v>
      </c>
      <c r="B307" s="26">
        <f t="shared" si="88"/>
        <v>96.427999998687483</v>
      </c>
      <c r="C307" s="26">
        <f t="shared" si="88"/>
        <v>-36.375999993166488</v>
      </c>
      <c r="D307" s="26">
        <f t="shared" ref="D307:E307" si="98">E55-D55</f>
        <v>38.091000014497581</v>
      </c>
      <c r="E307" s="26">
        <f t="shared" si="98"/>
        <v>41.794999994963064</v>
      </c>
      <c r="F307" s="26">
        <f t="shared" si="85"/>
        <v>79.886000009460645</v>
      </c>
    </row>
    <row r="308" spans="1:6" x14ac:dyDescent="0.3">
      <c r="A308" t="str">
        <f>$A$56</f>
        <v>Head offices, etc</v>
      </c>
      <c r="B308" s="26">
        <f t="shared" si="88"/>
        <v>29.227000000627299</v>
      </c>
      <c r="C308" s="26">
        <f t="shared" si="88"/>
        <v>5.8020000064225314</v>
      </c>
      <c r="D308" s="26">
        <f t="shared" ref="D308:E308" si="99">E56-D56</f>
        <v>28.562000013096622</v>
      </c>
      <c r="E308" s="26">
        <f t="shared" si="99"/>
        <v>30.441999994890921</v>
      </c>
      <c r="F308" s="26">
        <f t="shared" si="85"/>
        <v>59.004000007987543</v>
      </c>
    </row>
    <row r="309" spans="1:6" x14ac:dyDescent="0.3">
      <c r="A309" t="str">
        <f>$A$57</f>
        <v>Architectural and related</v>
      </c>
      <c r="B309" s="26">
        <f t="shared" si="88"/>
        <v>68.2849999997797</v>
      </c>
      <c r="C309" s="26">
        <f t="shared" si="88"/>
        <v>9.1190000030476313</v>
      </c>
      <c r="D309" s="26">
        <f t="shared" ref="D309:E309" si="100">E57-D57</f>
        <v>-8.8029999906236753</v>
      </c>
      <c r="E309" s="26">
        <f t="shared" si="100"/>
        <v>21.277999996077142</v>
      </c>
      <c r="F309" s="26">
        <f t="shared" si="85"/>
        <v>12.475000005453467</v>
      </c>
    </row>
    <row r="310" spans="1:6" x14ac:dyDescent="0.3">
      <c r="A310" t="str">
        <f>$A$58</f>
        <v>Scientific research and development</v>
      </c>
      <c r="B310" s="26">
        <f t="shared" si="88"/>
        <v>21.109999999304762</v>
      </c>
      <c r="C310" s="26">
        <f t="shared" si="88"/>
        <v>-15.820999998293104</v>
      </c>
      <c r="D310" s="26">
        <f t="shared" ref="D310:E310" si="101">E58-D58</f>
        <v>16.862999999472976</v>
      </c>
      <c r="E310" s="26">
        <f t="shared" si="101"/>
        <v>21.736000000863129</v>
      </c>
      <c r="F310" s="26">
        <f t="shared" si="85"/>
        <v>38.599000000336105</v>
      </c>
    </row>
    <row r="311" spans="1:6" x14ac:dyDescent="0.3">
      <c r="A311" t="str">
        <f>$A$59</f>
        <v>Advertising, etc</v>
      </c>
      <c r="B311" s="26">
        <f t="shared" si="88"/>
        <v>-19.434000000413306</v>
      </c>
      <c r="C311" s="26">
        <f t="shared" si="88"/>
        <v>-15.612999996556141</v>
      </c>
      <c r="D311" s="26">
        <f t="shared" ref="D311:E311" si="102">E59-D59</f>
        <v>27.163000004991602</v>
      </c>
      <c r="E311" s="26">
        <f t="shared" si="102"/>
        <v>28.199999997800347</v>
      </c>
      <c r="F311" s="26">
        <f t="shared" si="85"/>
        <v>55.363000002791949</v>
      </c>
    </row>
    <row r="312" spans="1:6" x14ac:dyDescent="0.3">
      <c r="A312" t="str">
        <f>$A$60</f>
        <v>Other professional</v>
      </c>
      <c r="B312" s="26">
        <f t="shared" si="88"/>
        <v>41.195999999303154</v>
      </c>
      <c r="C312" s="26">
        <f t="shared" si="88"/>
        <v>-15.205999999016598</v>
      </c>
      <c r="D312" s="26">
        <f t="shared" ref="D312:E312" si="103">E60-D60</f>
        <v>26.938000004094363</v>
      </c>
      <c r="E312" s="26">
        <f t="shared" si="103"/>
        <v>31.528999998562028</v>
      </c>
      <c r="F312" s="26">
        <f t="shared" si="85"/>
        <v>58.467000002656391</v>
      </c>
    </row>
    <row r="313" spans="1:6" x14ac:dyDescent="0.3">
      <c r="A313" t="str">
        <f>$A$61</f>
        <v>Veterinary</v>
      </c>
      <c r="B313" s="26">
        <f t="shared" si="88"/>
        <v>37.009999999062799</v>
      </c>
      <c r="C313" s="26">
        <f t="shared" si="88"/>
        <v>-6.4929999967252456</v>
      </c>
      <c r="D313" s="26">
        <f t="shared" ref="D313:E313" si="104">E61-D61</f>
        <v>12.77699999860144</v>
      </c>
      <c r="E313" s="26">
        <f t="shared" si="104"/>
        <v>17.088000000787559</v>
      </c>
      <c r="F313" s="26">
        <f t="shared" si="85"/>
        <v>29.864999999388999</v>
      </c>
    </row>
    <row r="314" spans="1:6" x14ac:dyDescent="0.3">
      <c r="A314" t="str">
        <f>$A$62</f>
        <v>Rental and leasing</v>
      </c>
      <c r="B314" s="26">
        <f t="shared" si="88"/>
        <v>-2.8630000002151519</v>
      </c>
      <c r="C314" s="26">
        <f t="shared" si="88"/>
        <v>-7.8510000000243281</v>
      </c>
      <c r="D314" s="26">
        <f t="shared" ref="D314:E314" si="105">E62-D62</f>
        <v>8.2950000010178258</v>
      </c>
      <c r="E314" s="26">
        <f t="shared" si="105"/>
        <v>10.543999999107882</v>
      </c>
      <c r="F314" s="26">
        <f t="shared" si="85"/>
        <v>18.839000000125708</v>
      </c>
    </row>
    <row r="315" spans="1:6" x14ac:dyDescent="0.3">
      <c r="A315" t="str">
        <f>$A$63</f>
        <v>Employment activities</v>
      </c>
      <c r="B315" s="26">
        <f t="shared" si="88"/>
        <v>13.53599999853725</v>
      </c>
      <c r="C315" s="26">
        <f t="shared" si="88"/>
        <v>-55.858000004606311</v>
      </c>
      <c r="D315" s="26">
        <f t="shared" ref="D315:E315" si="106">E63-D63</f>
        <v>53.414000005029493</v>
      </c>
      <c r="E315" s="26">
        <f t="shared" si="106"/>
        <v>65.650999995216466</v>
      </c>
      <c r="F315" s="26">
        <f t="shared" si="85"/>
        <v>119.06500000024596</v>
      </c>
    </row>
    <row r="316" spans="1:6" x14ac:dyDescent="0.3">
      <c r="A316" t="str">
        <f>$A$64</f>
        <v>Travel, etc</v>
      </c>
      <c r="B316" s="26">
        <f t="shared" si="88"/>
        <v>5.8449999998491222</v>
      </c>
      <c r="C316" s="26">
        <f t="shared" si="88"/>
        <v>-5.6690000011121526</v>
      </c>
      <c r="D316" s="26">
        <f t="shared" ref="D316:E316" si="107">E64-D64</f>
        <v>4.863000000996152</v>
      </c>
      <c r="E316" s="26">
        <f t="shared" si="107"/>
        <v>6.4479999992081645</v>
      </c>
      <c r="F316" s="26">
        <f t="shared" si="85"/>
        <v>11.311000000204317</v>
      </c>
    </row>
    <row r="317" spans="1:6" x14ac:dyDescent="0.3">
      <c r="A317" t="str">
        <f>$A$65</f>
        <v>Security, etc</v>
      </c>
      <c r="B317" s="26">
        <f t="shared" si="88"/>
        <v>19.831999999560082</v>
      </c>
      <c r="C317" s="26">
        <f t="shared" si="88"/>
        <v>-10.471000000666947</v>
      </c>
      <c r="D317" s="26">
        <f t="shared" ref="D317:E317" si="108">E65-D65</f>
        <v>10.954000000982063</v>
      </c>
      <c r="E317" s="26">
        <f t="shared" si="108"/>
        <v>13.816999998915122</v>
      </c>
      <c r="F317" s="26">
        <f t="shared" si="85"/>
        <v>24.770999999897185</v>
      </c>
    </row>
    <row r="318" spans="1:6" x14ac:dyDescent="0.3">
      <c r="A318" t="str">
        <f>$A$66</f>
        <v>Services to buildings</v>
      </c>
      <c r="B318" s="26">
        <f t="shared" si="88"/>
        <v>31.359999999054708</v>
      </c>
      <c r="C318" s="26">
        <f t="shared" si="88"/>
        <v>-47.31100000477727</v>
      </c>
      <c r="D318" s="26">
        <f t="shared" ref="D318:E318" si="109">E66-D66</f>
        <v>41.236000005035521</v>
      </c>
      <c r="E318" s="26">
        <f t="shared" si="109"/>
        <v>49.86899999373793</v>
      </c>
      <c r="F318" s="26">
        <f t="shared" si="85"/>
        <v>91.104999998773451</v>
      </c>
    </row>
    <row r="319" spans="1:6" x14ac:dyDescent="0.3">
      <c r="A319" t="str">
        <f>$A$67</f>
        <v>Office administrative</v>
      </c>
      <c r="B319" s="26">
        <f t="shared" si="88"/>
        <v>71.348999999647845</v>
      </c>
      <c r="C319" s="26">
        <f t="shared" si="88"/>
        <v>-28.945000002668053</v>
      </c>
      <c r="D319" s="26">
        <f t="shared" ref="D319:E319" si="110">E67-D67</f>
        <v>28.401000002231399</v>
      </c>
      <c r="E319" s="26">
        <f t="shared" si="110"/>
        <v>35.729999997781647</v>
      </c>
      <c r="F319" s="26">
        <f t="shared" si="85"/>
        <v>64.131000000013046</v>
      </c>
    </row>
    <row r="320" spans="1:6" x14ac:dyDescent="0.3">
      <c r="A320" t="str">
        <f>$A$68</f>
        <v>Public administration and defence</v>
      </c>
      <c r="B320" s="26">
        <f t="shared" si="88"/>
        <v>13.002000002138175</v>
      </c>
      <c r="C320" s="26">
        <f t="shared" si="88"/>
        <v>42.722000002456298</v>
      </c>
      <c r="D320" s="26">
        <f t="shared" ref="D320:E320" si="111">E68-D68</f>
        <v>29.140000005225147</v>
      </c>
      <c r="E320" s="26">
        <f t="shared" si="111"/>
        <v>22.475000001485114</v>
      </c>
      <c r="F320" s="26">
        <f t="shared" si="85"/>
        <v>51.615000006710261</v>
      </c>
    </row>
    <row r="321" spans="1:6" x14ac:dyDescent="0.3">
      <c r="A321" t="str">
        <f>$A$69</f>
        <v xml:space="preserve">Education </v>
      </c>
      <c r="B321" s="26">
        <f t="shared" si="88"/>
        <v>-3.5169999957333857</v>
      </c>
      <c r="C321" s="26">
        <f t="shared" si="88"/>
        <v>7.9810000226207194</v>
      </c>
      <c r="D321" s="26">
        <f t="shared" ref="D321:E321" si="112">E69-D69</f>
        <v>11.543999825052651</v>
      </c>
      <c r="E321" s="26">
        <f t="shared" si="112"/>
        <v>89.909000198555532</v>
      </c>
      <c r="F321" s="26">
        <f t="shared" si="85"/>
        <v>101.45300002360818</v>
      </c>
    </row>
    <row r="322" spans="1:6" x14ac:dyDescent="0.3">
      <c r="A322" t="str">
        <f>$A$70</f>
        <v>Health</v>
      </c>
      <c r="B322" s="26">
        <f t="shared" si="88"/>
        <v>192.28700000417575</v>
      </c>
      <c r="C322" s="26">
        <f t="shared" si="88"/>
        <v>64.58000001677101</v>
      </c>
      <c r="D322" s="26">
        <f t="shared" ref="D322:E322" si="113">E70-D70</f>
        <v>140.50599998519692</v>
      </c>
      <c r="E322" s="26">
        <f t="shared" si="113"/>
        <v>152.73300001856705</v>
      </c>
      <c r="F322" s="26">
        <f t="shared" ref="F322:F333" si="114">F70-D70</f>
        <v>293.23900000376398</v>
      </c>
    </row>
    <row r="323" spans="1:6" x14ac:dyDescent="0.3">
      <c r="A323" t="str">
        <f>$A$71</f>
        <v>Residential care</v>
      </c>
      <c r="B323" s="26">
        <f t="shared" ref="B323:C323" si="115">C71-B71</f>
        <v>0.31200000195701705</v>
      </c>
      <c r="C323" s="26">
        <f t="shared" si="115"/>
        <v>-36.810999992922461</v>
      </c>
      <c r="D323" s="26">
        <f t="shared" ref="D323:D331" si="116">E71-D71</f>
        <v>46.247999994166776</v>
      </c>
      <c r="E323" s="26">
        <f t="shared" ref="E323:E331" si="117">F71-E71</f>
        <v>53.973000005507629</v>
      </c>
      <c r="F323" s="26">
        <f t="shared" si="114"/>
        <v>100.2209999996744</v>
      </c>
    </row>
    <row r="324" spans="1:6" x14ac:dyDescent="0.3">
      <c r="A324" t="str">
        <f>$A$72</f>
        <v>Social work</v>
      </c>
      <c r="B324" s="26">
        <f t="shared" ref="B324:C324" si="118">C72-B72</f>
        <v>4.6120000026004391</v>
      </c>
      <c r="C324" s="26">
        <f t="shared" si="118"/>
        <v>-48.197999991129905</v>
      </c>
      <c r="D324" s="26">
        <f t="shared" si="116"/>
        <v>48.417999992330579</v>
      </c>
      <c r="E324" s="26">
        <f t="shared" si="117"/>
        <v>50.114000007937875</v>
      </c>
      <c r="F324" s="26">
        <f t="shared" si="114"/>
        <v>98.532000000268454</v>
      </c>
    </row>
    <row r="325" spans="1:6" x14ac:dyDescent="0.3">
      <c r="A325" t="str">
        <f>$A$73</f>
        <v>Arts and entertainment</v>
      </c>
      <c r="B325" s="26">
        <f t="shared" ref="B325:C325" si="119">C73-B73</f>
        <v>21.900999998691958</v>
      </c>
      <c r="C325" s="26">
        <f t="shared" si="119"/>
        <v>11.056000000559465</v>
      </c>
      <c r="D325" s="26">
        <f t="shared" si="116"/>
        <v>-8.9489999968377276</v>
      </c>
      <c r="E325" s="26">
        <f t="shared" si="117"/>
        <v>7.7799999989454136</v>
      </c>
      <c r="F325" s="26">
        <f t="shared" si="114"/>
        <v>-1.168999997892314</v>
      </c>
    </row>
    <row r="326" spans="1:6" x14ac:dyDescent="0.3">
      <c r="A326" t="str">
        <f>$A$74</f>
        <v>Libraries, etc</v>
      </c>
      <c r="B326" s="26">
        <f t="shared" ref="B326:C326" si="120">C74-B74</f>
        <v>-7.5200000010335657</v>
      </c>
      <c r="C326" s="26">
        <f t="shared" si="120"/>
        <v>13.514999999706049</v>
      </c>
      <c r="D326" s="26">
        <f t="shared" si="116"/>
        <v>-10.180999997287614</v>
      </c>
      <c r="E326" s="26">
        <f t="shared" si="117"/>
        <v>8.2809999993277756</v>
      </c>
      <c r="F326" s="26">
        <f t="shared" si="114"/>
        <v>-1.8999999979598385</v>
      </c>
    </row>
    <row r="327" spans="1:6" x14ac:dyDescent="0.3">
      <c r="A327" t="str">
        <f>$A$75</f>
        <v>Gambling and betting</v>
      </c>
      <c r="B327" s="26">
        <f t="shared" ref="B327:C327" si="121">C75-B75</f>
        <v>-7.8250000000865754</v>
      </c>
      <c r="C327" s="26">
        <f t="shared" si="121"/>
        <v>-3.6369999999377285</v>
      </c>
      <c r="D327" s="26">
        <f t="shared" si="116"/>
        <v>6.6830000008027639</v>
      </c>
      <c r="E327" s="26">
        <f t="shared" si="117"/>
        <v>9.6679999997427046</v>
      </c>
      <c r="F327" s="26">
        <f t="shared" si="114"/>
        <v>16.351000000545469</v>
      </c>
    </row>
    <row r="328" spans="1:6" x14ac:dyDescent="0.3">
      <c r="A328" t="str">
        <f>$A$76</f>
        <v>Sport and recreation</v>
      </c>
      <c r="B328" s="26">
        <f t="shared" ref="B328:C328" si="122">C76-B76</f>
        <v>20.468999998759614</v>
      </c>
      <c r="C328" s="26">
        <f t="shared" si="122"/>
        <v>-18.907999999711194</v>
      </c>
      <c r="D328" s="26">
        <f t="shared" si="116"/>
        <v>33.3180000046749</v>
      </c>
      <c r="E328" s="26">
        <f t="shared" si="117"/>
        <v>46.236999997955763</v>
      </c>
      <c r="F328" s="26">
        <f t="shared" si="114"/>
        <v>79.555000002630663</v>
      </c>
    </row>
    <row r="329" spans="1:6" x14ac:dyDescent="0.3">
      <c r="A329" t="str">
        <f>$A$77</f>
        <v>Membership organisations</v>
      </c>
      <c r="B329" s="26">
        <f t="shared" ref="B329:C329" si="123">C77-B77</f>
        <v>-2.9139999997132691</v>
      </c>
      <c r="C329" s="26">
        <f t="shared" si="123"/>
        <v>-19.296999999527486</v>
      </c>
      <c r="D329" s="26">
        <f t="shared" si="116"/>
        <v>-1.8049999963059804</v>
      </c>
      <c r="E329" s="26">
        <f t="shared" si="117"/>
        <v>1.7850000005764173</v>
      </c>
      <c r="F329" s="26">
        <f t="shared" si="114"/>
        <v>-1.9999995729563125E-2</v>
      </c>
    </row>
    <row r="330" spans="1:6" x14ac:dyDescent="0.3">
      <c r="A330" t="str">
        <f>$A$78</f>
        <v>Repair of goods</v>
      </c>
      <c r="B330" s="26">
        <f t="shared" ref="B330:C330" si="124">C78-B78</f>
        <v>3.0820000000565031</v>
      </c>
      <c r="C330" s="26">
        <f t="shared" si="124"/>
        <v>9.6619999996052712</v>
      </c>
      <c r="D330" s="26">
        <f t="shared" si="116"/>
        <v>1.2380000010008274</v>
      </c>
      <c r="E330" s="26">
        <f t="shared" si="117"/>
        <v>2.546999999460013</v>
      </c>
      <c r="F330" s="26">
        <f t="shared" si="114"/>
        <v>3.7850000004608404</v>
      </c>
    </row>
    <row r="331" spans="1:6" x14ac:dyDescent="0.3">
      <c r="A331" t="str">
        <f>$A$79</f>
        <v>Other personal service</v>
      </c>
      <c r="B331" s="26">
        <f>C79-B79</f>
        <v>28.524999999740089</v>
      </c>
      <c r="C331" s="26">
        <f t="shared" ref="C331" si="125">D79-C79</f>
        <v>1.82399999466503</v>
      </c>
      <c r="D331" s="26">
        <f t="shared" si="116"/>
        <v>-6.2939999942468603</v>
      </c>
      <c r="E331" s="26">
        <f t="shared" si="117"/>
        <v>2.3049999959919205</v>
      </c>
      <c r="F331" s="26">
        <f t="shared" si="114"/>
        <v>-3.9889999982549398</v>
      </c>
    </row>
    <row r="332" spans="1:6" x14ac:dyDescent="0.3">
      <c r="B332" s="26"/>
      <c r="C332" s="26"/>
      <c r="D332" s="26"/>
      <c r="E332" s="26"/>
      <c r="F332" s="26"/>
    </row>
    <row r="333" spans="1:6" x14ac:dyDescent="0.3">
      <c r="A333" s="23" t="str">
        <f>$A$81</f>
        <v>All industries</v>
      </c>
      <c r="B333" s="28">
        <f t="shared" ref="B333" si="126">C81-B81</f>
        <v>1556.5879999960962</v>
      </c>
      <c r="C333" s="28">
        <f t="shared" ref="C333" si="127">D81-C81</f>
        <v>-353.07899999884467</v>
      </c>
      <c r="D333" s="28">
        <f>E81-D81</f>
        <v>895.06700001499848</v>
      </c>
      <c r="E333" s="28">
        <f>F81-E81</f>
        <v>1315.3429999888649</v>
      </c>
      <c r="F333" s="28">
        <f t="shared" si="114"/>
        <v>2210.4100000038634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  <col min="7" max="7" width="5.69140625" customWidth="1"/>
    <col min="8" max="12" width="11.69140625" customWidth="1"/>
  </cols>
  <sheetData>
    <row r="1" spans="1:12" ht="15.45" x14ac:dyDescent="0.4">
      <c r="A1" s="18" t="str">
        <f>CONCATENATE("Industry Table 4  Employment by Industry Group in Sector (SIC 2007), ",B$5,"-",F$5,", ",Info!B5)</f>
        <v>Industry Table 4  Employment by Industry Group in Sector (SIC 2007), 2015-2035, England</v>
      </c>
    </row>
    <row r="2" spans="1:12" ht="12.75" customHeight="1" x14ac:dyDescent="0.3">
      <c r="A2" s="181" t="s">
        <v>532</v>
      </c>
    </row>
    <row r="3" spans="1:12" ht="12.75" customHeight="1" x14ac:dyDescent="0.4">
      <c r="A3" s="18"/>
      <c r="L3" s="37" t="s">
        <v>19</v>
      </c>
    </row>
    <row r="4" spans="1:12" x14ac:dyDescent="0.3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3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ht="12.9" x14ac:dyDescent="0.35">
      <c r="A7" s="29" t="str">
        <f>'Ind T1'!A7</f>
        <v>Primary sector and utilities</v>
      </c>
      <c r="B7" s="30">
        <f>'Ind T1'!B7</f>
        <v>555.1960000004118</v>
      </c>
      <c r="C7" s="30">
        <f>'Ind T1'!C7</f>
        <v>598.95700000140323</v>
      </c>
      <c r="D7" s="30">
        <f>'Ind T1'!D7</f>
        <v>554.54399999805901</v>
      </c>
      <c r="E7" s="30">
        <f>'Ind T1'!E7</f>
        <v>561.28600000060646</v>
      </c>
      <c r="F7" s="30">
        <f>'Ind T1'!F7</f>
        <v>571.78499999819644</v>
      </c>
      <c r="H7" s="30">
        <f>C7-B7</f>
        <v>43.76100000099143</v>
      </c>
      <c r="I7" s="30">
        <f>D7-C7</f>
        <v>-44.413000003344223</v>
      </c>
      <c r="J7" s="30">
        <f>E7-D7</f>
        <v>6.7420000025474565</v>
      </c>
      <c r="K7" s="30">
        <f>F7-E7</f>
        <v>10.498999997589976</v>
      </c>
      <c r="L7" s="30">
        <f>F7-D7</f>
        <v>17.241000000137433</v>
      </c>
    </row>
    <row r="8" spans="1:12" ht="12.9" x14ac:dyDescent="0.35">
      <c r="A8" t="str">
        <f>'Ind T2'!A5</f>
        <v>Agriculture</v>
      </c>
      <c r="B8" s="31">
        <f>'Ind T2'!B5</f>
        <v>262.66400000087742</v>
      </c>
      <c r="C8" s="31">
        <f>'Ind T2'!C5</f>
        <v>270.40100000186817</v>
      </c>
      <c r="D8" s="31">
        <f>'Ind T2'!D5</f>
        <v>239.69399999875475</v>
      </c>
      <c r="E8" s="31">
        <f>'Ind T2'!E5</f>
        <v>246.8979999987769</v>
      </c>
      <c r="F8" s="31">
        <f>'Ind T2'!F5</f>
        <v>249.14899999809109</v>
      </c>
      <c r="H8" s="11">
        <f t="shared" ref="H8:H40" si="0">C8-B8</f>
        <v>7.7370000009907471</v>
      </c>
      <c r="I8" s="30">
        <f t="shared" ref="I8:I38" si="1">D8-C8</f>
        <v>-30.707000003113421</v>
      </c>
      <c r="J8" s="11">
        <f t="shared" ref="J8:J38" si="2">E8-D8</f>
        <v>7.2040000000221482</v>
      </c>
      <c r="K8" s="11">
        <f t="shared" ref="K8:K38" si="3">F8-E8</f>
        <v>2.2509999993141889</v>
      </c>
      <c r="L8" s="30">
        <f t="shared" ref="L8:L40" si="4">F8-D8</f>
        <v>9.4549999993363372</v>
      </c>
    </row>
    <row r="9" spans="1:12" ht="12.9" x14ac:dyDescent="0.35">
      <c r="A9" t="str">
        <f>'Ind T2'!A6</f>
        <v>Mining and quarrying</v>
      </c>
      <c r="B9" s="31">
        <f>'Ind T2'!B6</f>
        <v>30.394999999857781</v>
      </c>
      <c r="C9" s="31">
        <f>'Ind T2'!C6</f>
        <v>23.973999999977273</v>
      </c>
      <c r="D9" s="31">
        <f>'Ind T2'!D6</f>
        <v>24.505999999997869</v>
      </c>
      <c r="E9" s="31">
        <f>'Ind T2'!E6</f>
        <v>19.748000000062095</v>
      </c>
      <c r="F9" s="31">
        <f>'Ind T2'!F6</f>
        <v>14.698000000043045</v>
      </c>
      <c r="H9" s="11">
        <f t="shared" si="0"/>
        <v>-6.4209999998805074</v>
      </c>
      <c r="I9" s="30">
        <f t="shared" si="1"/>
        <v>0.53200000002059511</v>
      </c>
      <c r="J9" s="11">
        <f t="shared" si="2"/>
        <v>-4.7579999999357732</v>
      </c>
      <c r="K9" s="11">
        <f t="shared" si="3"/>
        <v>-5.0500000000190504</v>
      </c>
      <c r="L9" s="30">
        <f t="shared" si="4"/>
        <v>-9.8079999999548235</v>
      </c>
    </row>
    <row r="10" spans="1:12" ht="12.9" x14ac:dyDescent="0.35">
      <c r="A10" t="str">
        <f>'Ind T2'!A10</f>
        <v>Electricity and gas</v>
      </c>
      <c r="B10" s="31">
        <f>'Ind T2'!B10</f>
        <v>98.78599999956451</v>
      </c>
      <c r="C10" s="31">
        <f>'Ind T2'!C10</f>
        <v>119.00299999947046</v>
      </c>
      <c r="D10" s="31">
        <f>'Ind T2'!D10</f>
        <v>118.73099999947833</v>
      </c>
      <c r="E10" s="31">
        <f>'Ind T2'!E10</f>
        <v>114.24900000085233</v>
      </c>
      <c r="F10" s="31">
        <f>'Ind T2'!F10</f>
        <v>113.49399999960092</v>
      </c>
      <c r="H10" s="11">
        <f t="shared" si="0"/>
        <v>20.216999999905951</v>
      </c>
      <c r="I10" s="30">
        <f t="shared" si="1"/>
        <v>-0.27199999999213276</v>
      </c>
      <c r="J10" s="11">
        <f t="shared" si="2"/>
        <v>-4.4819999986259944</v>
      </c>
      <c r="K10" s="11">
        <f t="shared" si="3"/>
        <v>-0.75500000125141753</v>
      </c>
      <c r="L10" s="30">
        <f t="shared" si="4"/>
        <v>-5.2369999998774119</v>
      </c>
    </row>
    <row r="11" spans="1:12" ht="12.9" x14ac:dyDescent="0.35">
      <c r="A11" t="str">
        <f>'Ind T2'!A11</f>
        <v>Water and sewerage</v>
      </c>
      <c r="B11" s="31">
        <f>'Ind T2'!B11</f>
        <v>163.35100000011215</v>
      </c>
      <c r="C11" s="31">
        <f>'Ind T2'!C11</f>
        <v>185.57900000008738</v>
      </c>
      <c r="D11" s="31">
        <f>'Ind T2'!D11</f>
        <v>171.61299999982808</v>
      </c>
      <c r="E11" s="31">
        <f>'Ind T2'!E11</f>
        <v>180.39100000091514</v>
      </c>
      <c r="F11" s="31">
        <f>'Ind T2'!F11</f>
        <v>194.4440000004613</v>
      </c>
      <c r="H11" s="11">
        <f t="shared" ref="H11" si="5">C11-B11</f>
        <v>22.227999999975225</v>
      </c>
      <c r="I11" s="30">
        <f t="shared" ref="I11" si="6">D11-C11</f>
        <v>-13.966000000259299</v>
      </c>
      <c r="J11" s="11">
        <f t="shared" ref="J11" si="7">E11-D11</f>
        <v>8.7780000010870651</v>
      </c>
      <c r="K11" s="11">
        <f t="shared" ref="K11" si="8">F11-E11</f>
        <v>14.052999999546159</v>
      </c>
      <c r="L11" s="30">
        <f t="shared" si="4"/>
        <v>22.831000000633225</v>
      </c>
    </row>
    <row r="12" spans="1:12" ht="12.9" x14ac:dyDescent="0.35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ht="12.9" x14ac:dyDescent="0.35">
      <c r="A13" s="29" t="str">
        <f>'Ind T1'!A8</f>
        <v>Manufacturing</v>
      </c>
      <c r="B13" s="30">
        <f>'Ind T1'!B8</f>
        <v>2197.6419999990994</v>
      </c>
      <c r="C13" s="30">
        <f>'Ind T1'!C8</f>
        <v>2254.4499999968257</v>
      </c>
      <c r="D13" s="30">
        <f>'Ind T1'!D8</f>
        <v>2208.4099999963059</v>
      </c>
      <c r="E13" s="30">
        <f>'Ind T1'!E8</f>
        <v>2130.7230000115928</v>
      </c>
      <c r="F13" s="30">
        <f>'Ind T1'!F8</f>
        <v>1959.1609999995239</v>
      </c>
      <c r="H13" s="30">
        <f t="shared" si="0"/>
        <v>56.807999997726256</v>
      </c>
      <c r="I13" s="30">
        <f t="shared" si="1"/>
        <v>-46.04000000051974</v>
      </c>
      <c r="J13" s="30">
        <f t="shared" si="2"/>
        <v>-77.686999984713111</v>
      </c>
      <c r="K13" s="30">
        <f t="shared" si="3"/>
        <v>-171.56200001206889</v>
      </c>
      <c r="L13" s="30">
        <f t="shared" si="4"/>
        <v>-249.248999996782</v>
      </c>
    </row>
    <row r="14" spans="1:12" ht="12.9" x14ac:dyDescent="0.35">
      <c r="A14" t="str">
        <f>'Ind T2'!A7</f>
        <v>Food drink and tobacco</v>
      </c>
      <c r="B14" s="31">
        <f>'Ind T2'!B7</f>
        <v>338.92800000130188</v>
      </c>
      <c r="C14" s="31">
        <f>'Ind T2'!C7</f>
        <v>366.44100000040532</v>
      </c>
      <c r="D14" s="31">
        <f>'Ind T2'!D7</f>
        <v>367.30900000027196</v>
      </c>
      <c r="E14" s="31">
        <f>'Ind T2'!E7</f>
        <v>371.81200000413804</v>
      </c>
      <c r="F14" s="31">
        <f>'Ind T2'!F7</f>
        <v>362.09299999941987</v>
      </c>
      <c r="H14" s="11">
        <f t="shared" si="0"/>
        <v>27.512999999103442</v>
      </c>
      <c r="I14" s="30">
        <f t="shared" si="1"/>
        <v>0.86799999986664034</v>
      </c>
      <c r="J14" s="11">
        <f t="shared" si="2"/>
        <v>4.5030000038660773</v>
      </c>
      <c r="K14" s="11">
        <f t="shared" si="3"/>
        <v>-9.7190000047181684</v>
      </c>
      <c r="L14" s="30">
        <f t="shared" si="4"/>
        <v>-5.216000000852091</v>
      </c>
    </row>
    <row r="15" spans="1:12" ht="12.9" x14ac:dyDescent="0.35">
      <c r="A15" t="str">
        <f>'Ind T2'!A8</f>
        <v>Engineering</v>
      </c>
      <c r="B15" s="31">
        <f>'Ind T2'!B8</f>
        <v>331.15499999898384</v>
      </c>
      <c r="C15" s="31">
        <f>'Ind T2'!C8</f>
        <v>338.70199999916076</v>
      </c>
      <c r="D15" s="31">
        <f>'Ind T2'!D8</f>
        <v>322.65599999908096</v>
      </c>
      <c r="E15" s="31">
        <f>'Ind T2'!E8</f>
        <v>328.98500000143895</v>
      </c>
      <c r="F15" s="31">
        <f>'Ind T2'!F8</f>
        <v>290.17600000016159</v>
      </c>
      <c r="H15" s="11">
        <f t="shared" si="0"/>
        <v>7.5470000001769222</v>
      </c>
      <c r="I15" s="30">
        <f t="shared" si="1"/>
        <v>-16.0460000000798</v>
      </c>
      <c r="J15" s="11">
        <f t="shared" si="2"/>
        <v>6.3290000023579864</v>
      </c>
      <c r="K15" s="11">
        <f t="shared" si="3"/>
        <v>-38.809000001277354</v>
      </c>
      <c r="L15" s="30">
        <f t="shared" si="4"/>
        <v>-32.479999998919368</v>
      </c>
    </row>
    <row r="16" spans="1:12" ht="12.9" x14ac:dyDescent="0.35">
      <c r="A16" t="str">
        <f>'Ind T2'!A9</f>
        <v>Rest of manufacturing</v>
      </c>
      <c r="B16" s="31">
        <f>'Ind T2'!B9</f>
        <v>1527.5589999988133</v>
      </c>
      <c r="C16" s="31">
        <f>'Ind T2'!C9</f>
        <v>1549.3069999972588</v>
      </c>
      <c r="D16" s="31">
        <f>'Ind T2'!D9</f>
        <v>1518.4449999969531</v>
      </c>
      <c r="E16" s="31">
        <f>'Ind T2'!E9</f>
        <v>1429.9260000060156</v>
      </c>
      <c r="F16" s="31">
        <f>'Ind T2'!F9</f>
        <v>1306.8919999999423</v>
      </c>
      <c r="H16" s="11">
        <f t="shared" si="0"/>
        <v>21.747999998445493</v>
      </c>
      <c r="I16" s="30">
        <f t="shared" si="1"/>
        <v>-30.86200000030567</v>
      </c>
      <c r="J16" s="11">
        <f t="shared" si="2"/>
        <v>-88.518999990937573</v>
      </c>
      <c r="K16" s="11">
        <f t="shared" si="3"/>
        <v>-123.03400000607326</v>
      </c>
      <c r="L16" s="30">
        <f t="shared" si="4"/>
        <v>-211.55299999701083</v>
      </c>
    </row>
    <row r="17" spans="1:12" ht="12.9" x14ac:dyDescent="0.35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ht="12.9" x14ac:dyDescent="0.35">
      <c r="A18" s="29" t="str">
        <f>'Ind T1'!A9</f>
        <v>Construction</v>
      </c>
      <c r="B18" s="30">
        <f>'Ind T1'!B9</f>
        <v>1800.3539999823467</v>
      </c>
      <c r="C18" s="30">
        <f>'Ind T1'!C9</f>
        <v>1996.7570000194819</v>
      </c>
      <c r="D18" s="30">
        <f>'Ind T1'!D9</f>
        <v>1999.7949999736827</v>
      </c>
      <c r="E18" s="30">
        <f>'Ind T1'!E9</f>
        <v>2097.9509999332668</v>
      </c>
      <c r="F18" s="30">
        <f>'Ind T1'!F9</f>
        <v>2251.9169999468199</v>
      </c>
      <c r="H18" s="30">
        <f t="shared" si="0"/>
        <v>196.40300003713514</v>
      </c>
      <c r="I18" s="30">
        <f t="shared" si="1"/>
        <v>3.0379999542008136</v>
      </c>
      <c r="J18" s="30">
        <f t="shared" si="2"/>
        <v>98.155999959584051</v>
      </c>
      <c r="K18" s="30">
        <f t="shared" si="3"/>
        <v>153.96600001355318</v>
      </c>
      <c r="L18" s="30">
        <f t="shared" si="4"/>
        <v>252.12199997313724</v>
      </c>
    </row>
    <row r="19" spans="1:12" ht="12.9" x14ac:dyDescent="0.35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ht="12.9" x14ac:dyDescent="0.35">
      <c r="A20" s="29" t="str">
        <f>'Ind T1'!A10</f>
        <v>Trade, accomod. and transport</v>
      </c>
      <c r="B20" s="30">
        <f>'Ind T1'!B10</f>
        <v>7525.0560001205222</v>
      </c>
      <c r="C20" s="30">
        <f>'Ind T1'!C10</f>
        <v>8007.9100000778262</v>
      </c>
      <c r="D20" s="30">
        <f>'Ind T1'!D10</f>
        <v>7878.5050000484916</v>
      </c>
      <c r="E20" s="30">
        <f>'Ind T1'!E10</f>
        <v>8105.1010001628092</v>
      </c>
      <c r="F20" s="30">
        <f>'Ind T1'!F10</f>
        <v>8490.7949999848715</v>
      </c>
      <c r="H20" s="30">
        <f t="shared" si="0"/>
        <v>482.85399995730404</v>
      </c>
      <c r="I20" s="30">
        <f t="shared" si="1"/>
        <v>-129.40500002933459</v>
      </c>
      <c r="J20" s="30">
        <f t="shared" si="2"/>
        <v>226.59600011431758</v>
      </c>
      <c r="K20" s="30">
        <f t="shared" si="3"/>
        <v>385.69399982206232</v>
      </c>
      <c r="L20" s="30">
        <f t="shared" si="4"/>
        <v>612.2899999363799</v>
      </c>
    </row>
    <row r="21" spans="1:12" ht="12.9" x14ac:dyDescent="0.35">
      <c r="A21" s="10" t="str">
        <f>'Ind T2'!A13</f>
        <v>Wholesale and retail trade</v>
      </c>
      <c r="B21" s="31">
        <f>'Ind T2'!B13</f>
        <v>4242.0110000769037</v>
      </c>
      <c r="C21" s="31">
        <f>'Ind T2'!C13</f>
        <v>4291.2060000558395</v>
      </c>
      <c r="D21" s="31">
        <f>'Ind T2'!D13</f>
        <v>4259.6270000357363</v>
      </c>
      <c r="E21" s="31">
        <f>'Ind T2'!E13</f>
        <v>4283.6300000971387</v>
      </c>
      <c r="F21" s="31">
        <f>'Ind T2'!F13</f>
        <v>4328.4679999876525</v>
      </c>
      <c r="H21" s="11">
        <f t="shared" si="0"/>
        <v>49.194999978935812</v>
      </c>
      <c r="I21" s="30">
        <f t="shared" si="1"/>
        <v>-31.579000020103194</v>
      </c>
      <c r="J21" s="11">
        <f t="shared" si="2"/>
        <v>24.003000061402417</v>
      </c>
      <c r="K21" s="11">
        <f t="shared" si="3"/>
        <v>44.837999890513856</v>
      </c>
      <c r="L21" s="30">
        <f t="shared" si="4"/>
        <v>68.840999951916274</v>
      </c>
    </row>
    <row r="22" spans="1:12" ht="12.9" x14ac:dyDescent="0.35">
      <c r="A22" s="10" t="str">
        <f>'Ind T2'!A14</f>
        <v>Transport and storage</v>
      </c>
      <c r="B22" s="31">
        <f>'Ind T2'!B14</f>
        <v>1399.6460000121267</v>
      </c>
      <c r="C22" s="31">
        <f>'Ind T2'!C14</f>
        <v>1594.7559999919511</v>
      </c>
      <c r="D22" s="31">
        <f>'Ind T2'!D14</f>
        <v>1582.7790000029988</v>
      </c>
      <c r="E22" s="31">
        <f>'Ind T2'!E14</f>
        <v>1687.9900000238249</v>
      </c>
      <c r="F22" s="31">
        <f>'Ind T2'!F14</f>
        <v>1720.9670000086528</v>
      </c>
      <c r="H22" s="11">
        <f t="shared" si="0"/>
        <v>195.10999997982435</v>
      </c>
      <c r="I22" s="30">
        <f t="shared" si="1"/>
        <v>-11.97699998895223</v>
      </c>
      <c r="J22" s="11">
        <f t="shared" si="2"/>
        <v>105.21100002082608</v>
      </c>
      <c r="K22" s="11">
        <f t="shared" si="3"/>
        <v>32.976999984827899</v>
      </c>
      <c r="L22" s="30">
        <f t="shared" si="4"/>
        <v>138.18800000565398</v>
      </c>
    </row>
    <row r="23" spans="1:12" ht="12.9" x14ac:dyDescent="0.35">
      <c r="A23" s="10" t="str">
        <f>'Ind T2'!A15</f>
        <v>Accommodation and food</v>
      </c>
      <c r="B23" s="31">
        <f>'Ind T2'!B15</f>
        <v>1883.3990000314909</v>
      </c>
      <c r="C23" s="31">
        <f>'Ind T2'!C15</f>
        <v>2121.9480000300359</v>
      </c>
      <c r="D23" s="31">
        <f>'Ind T2'!D15</f>
        <v>2036.099000009757</v>
      </c>
      <c r="E23" s="31">
        <f>'Ind T2'!E15</f>
        <v>2133.4810000418465</v>
      </c>
      <c r="F23" s="31">
        <f>'Ind T2'!F15</f>
        <v>2441.3599999885669</v>
      </c>
      <c r="H23" s="11">
        <f t="shared" si="0"/>
        <v>238.54899999854501</v>
      </c>
      <c r="I23" s="30">
        <f t="shared" si="1"/>
        <v>-85.849000020278936</v>
      </c>
      <c r="J23" s="11">
        <f t="shared" si="2"/>
        <v>97.382000032089536</v>
      </c>
      <c r="K23" s="11">
        <f t="shared" si="3"/>
        <v>307.87899994672034</v>
      </c>
      <c r="L23" s="30">
        <f t="shared" si="4"/>
        <v>405.26099997880988</v>
      </c>
    </row>
    <row r="24" spans="1:12" ht="12.9" x14ac:dyDescent="0.35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ht="12.9" x14ac:dyDescent="0.35">
      <c r="A25" s="29" t="str">
        <f>'Ind T1'!A11</f>
        <v>Business and other services</v>
      </c>
      <c r="B25" s="30">
        <f>'Ind T1'!B11</f>
        <v>9528.638999968709</v>
      </c>
      <c r="C25" s="30">
        <f>'Ind T1'!C11</f>
        <v>10098.704999956526</v>
      </c>
      <c r="D25" s="30">
        <f>'Ind T1'!D11</f>
        <v>9932.1719999788857</v>
      </c>
      <c r="E25" s="30">
        <f>'Ind T1'!E11</f>
        <v>10297.576000100173</v>
      </c>
      <c r="F25" s="30">
        <f>'Ind T1'!F11</f>
        <v>10865.118000035862</v>
      </c>
      <c r="H25" s="30">
        <f t="shared" si="0"/>
        <v>570.06599998781712</v>
      </c>
      <c r="I25" s="30">
        <f t="shared" si="1"/>
        <v>-166.53299997764043</v>
      </c>
      <c r="J25" s="30">
        <f t="shared" si="2"/>
        <v>365.40400012128703</v>
      </c>
      <c r="K25" s="30">
        <f t="shared" si="3"/>
        <v>567.54199993568909</v>
      </c>
      <c r="L25" s="30">
        <f t="shared" si="4"/>
        <v>932.94600005697612</v>
      </c>
    </row>
    <row r="26" spans="1:12" ht="12.9" x14ac:dyDescent="0.35">
      <c r="A26" s="10" t="str">
        <f>'Ind T2'!A16</f>
        <v>Media</v>
      </c>
      <c r="B26" s="11">
        <f>'Ind T2'!B16</f>
        <v>339.44299999972969</v>
      </c>
      <c r="C26" s="11">
        <f>'Ind T2'!C16</f>
        <v>345.15599999886928</v>
      </c>
      <c r="D26" s="11">
        <f>'Ind T2'!D16</f>
        <v>348.37000000072254</v>
      </c>
      <c r="E26" s="11">
        <f>'Ind T2'!E16</f>
        <v>352.73400000536964</v>
      </c>
      <c r="F26" s="11">
        <f>'Ind T2'!F16</f>
        <v>356.61500000332785</v>
      </c>
      <c r="H26" s="11">
        <f t="shared" si="0"/>
        <v>5.7129999991395835</v>
      </c>
      <c r="I26" s="30">
        <f t="shared" si="1"/>
        <v>3.2140000018532646</v>
      </c>
      <c r="J26" s="11">
        <f t="shared" si="2"/>
        <v>4.3640000046470959</v>
      </c>
      <c r="K26" s="11">
        <f t="shared" si="3"/>
        <v>3.880999997958213</v>
      </c>
      <c r="L26" s="30">
        <f t="shared" si="4"/>
        <v>8.245000002605309</v>
      </c>
    </row>
    <row r="27" spans="1:12" ht="12.9" x14ac:dyDescent="0.35">
      <c r="A27" s="10" t="str">
        <f>'Ind T2'!A17</f>
        <v>Information technology</v>
      </c>
      <c r="B27" s="11">
        <f>'Ind T2'!B17</f>
        <v>935.88699998858351</v>
      </c>
      <c r="C27" s="11">
        <f>'Ind T2'!C17</f>
        <v>995.06599998853699</v>
      </c>
      <c r="D27" s="11">
        <f>'Ind T2'!D17</f>
        <v>1001.099999995333</v>
      </c>
      <c r="E27" s="11">
        <f>'Ind T2'!E17</f>
        <v>1075.749000006987</v>
      </c>
      <c r="F27" s="11">
        <f>'Ind T2'!F17</f>
        <v>1161.9129999989966</v>
      </c>
      <c r="H27" s="11">
        <f t="shared" si="0"/>
        <v>59.178999999953476</v>
      </c>
      <c r="I27" s="30">
        <f t="shared" si="1"/>
        <v>6.0340000067959636</v>
      </c>
      <c r="J27" s="11">
        <f t="shared" si="2"/>
        <v>74.649000011654039</v>
      </c>
      <c r="K27" s="11">
        <f t="shared" si="3"/>
        <v>86.163999992009622</v>
      </c>
      <c r="L27" s="30">
        <f t="shared" si="4"/>
        <v>160.81300000366366</v>
      </c>
    </row>
    <row r="28" spans="1:12" ht="12.9" x14ac:dyDescent="0.35">
      <c r="A28" s="10" t="str">
        <f>'Ind T2'!A18</f>
        <v>Finance and insurance</v>
      </c>
      <c r="B28" s="11">
        <f>'Ind T2'!B18</f>
        <v>974.26999999089708</v>
      </c>
      <c r="C28" s="11">
        <f>'Ind T2'!C18</f>
        <v>998.31399998994925</v>
      </c>
      <c r="D28" s="11">
        <f>'Ind T2'!D18</f>
        <v>1005.1659999970918</v>
      </c>
      <c r="E28" s="11">
        <f>'Ind T2'!E18</f>
        <v>1006.8290000143252</v>
      </c>
      <c r="F28" s="11">
        <f>'Ind T2'!F18</f>
        <v>981.78100000498785</v>
      </c>
      <c r="H28" s="11">
        <f t="shared" si="0"/>
        <v>24.043999999052176</v>
      </c>
      <c r="I28" s="30">
        <f t="shared" si="1"/>
        <v>6.8520000071425784</v>
      </c>
      <c r="J28" s="11">
        <f t="shared" si="2"/>
        <v>1.6630000172333439</v>
      </c>
      <c r="K28" s="11">
        <f t="shared" si="3"/>
        <v>-25.048000009337329</v>
      </c>
      <c r="L28" s="30">
        <f t="shared" si="4"/>
        <v>-23.384999992103985</v>
      </c>
    </row>
    <row r="29" spans="1:12" ht="12.9" x14ac:dyDescent="0.35">
      <c r="A29" s="10" t="str">
        <f>'Ind T2'!A19</f>
        <v>Real estate</v>
      </c>
      <c r="B29" s="11">
        <f>'Ind T2'!B19</f>
        <v>499.70899999841942</v>
      </c>
      <c r="C29" s="11">
        <f>'Ind T2'!C19</f>
        <v>512.23999999889179</v>
      </c>
      <c r="D29" s="11">
        <f>'Ind T2'!D19</f>
        <v>566.08499999823994</v>
      </c>
      <c r="E29" s="11">
        <f>'Ind T2'!E19</f>
        <v>548.04900000477232</v>
      </c>
      <c r="F29" s="11">
        <f>'Ind T2'!F19</f>
        <v>597.86399999991784</v>
      </c>
      <c r="H29" s="11">
        <f t="shared" ref="H29:H31" si="9">C29-B29</f>
        <v>12.531000000472375</v>
      </c>
      <c r="I29" s="30">
        <f t="shared" ref="I29:I31" si="10">D29-C29</f>
        <v>53.844999999348147</v>
      </c>
      <c r="J29" s="11">
        <f t="shared" ref="J29:J31" si="11">E29-D29</f>
        <v>-18.035999993467613</v>
      </c>
      <c r="K29" s="11">
        <f t="shared" ref="K29:K31" si="12">F29-E29</f>
        <v>49.814999995145513</v>
      </c>
      <c r="L29" s="30">
        <f t="shared" si="4"/>
        <v>31.7790000016779</v>
      </c>
    </row>
    <row r="30" spans="1:12" ht="12.9" x14ac:dyDescent="0.35">
      <c r="A30" s="10" t="str">
        <f>'Ind T2'!A20</f>
        <v>Professional services</v>
      </c>
      <c r="B30" s="11">
        <f>'Ind T2'!B20</f>
        <v>2607.9309999661605</v>
      </c>
      <c r="C30" s="11">
        <f>'Ind T2'!C20</f>
        <v>2881.7529999625121</v>
      </c>
      <c r="D30" s="11">
        <f>'Ind T2'!D20</f>
        <v>2807.1649999882252</v>
      </c>
      <c r="E30" s="11">
        <f>'Ind T2'!E20</f>
        <v>2948.756000032356</v>
      </c>
      <c r="F30" s="11">
        <f>'Ind T2'!F20</f>
        <v>3140.8240000163</v>
      </c>
      <c r="H30" s="11">
        <f t="shared" si="9"/>
        <v>273.82199999635168</v>
      </c>
      <c r="I30" s="30">
        <f t="shared" si="10"/>
        <v>-74.587999974286959</v>
      </c>
      <c r="J30" s="11">
        <f t="shared" si="11"/>
        <v>141.59100004413085</v>
      </c>
      <c r="K30" s="11">
        <f t="shared" si="12"/>
        <v>192.06799998394399</v>
      </c>
      <c r="L30" s="30">
        <f t="shared" si="4"/>
        <v>333.65900002807484</v>
      </c>
    </row>
    <row r="31" spans="1:12" ht="12.9" x14ac:dyDescent="0.35">
      <c r="A31" s="10" t="str">
        <f>'Ind T2'!A21</f>
        <v>Support services</v>
      </c>
      <c r="B31" s="11">
        <f>'Ind T2'!B21</f>
        <v>2500.2860000175151</v>
      </c>
      <c r="C31" s="11">
        <f>'Ind T2'!C21</f>
        <v>2639.3450000139492</v>
      </c>
      <c r="D31" s="11">
        <f>'Ind T2'!D21</f>
        <v>2483.2400000000944</v>
      </c>
      <c r="E31" s="11">
        <f>'Ind T2'!E21</f>
        <v>2630.4030000153866</v>
      </c>
      <c r="F31" s="11">
        <f>'Ind T2'!F21</f>
        <v>2812.4619999993538</v>
      </c>
      <c r="H31" s="11">
        <f t="shared" si="9"/>
        <v>139.05899999643407</v>
      </c>
      <c r="I31" s="30">
        <f t="shared" si="10"/>
        <v>-156.10500001385481</v>
      </c>
      <c r="J31" s="11">
        <f t="shared" si="11"/>
        <v>147.16300001529225</v>
      </c>
      <c r="K31" s="11">
        <f t="shared" si="12"/>
        <v>182.05899998396717</v>
      </c>
      <c r="L31" s="30">
        <f t="shared" si="4"/>
        <v>329.22199999925942</v>
      </c>
    </row>
    <row r="32" spans="1:12" ht="12.9" x14ac:dyDescent="0.35">
      <c r="A32" s="10" t="str">
        <f>'Ind T2'!A25</f>
        <v>Arts and entertainment</v>
      </c>
      <c r="B32" s="11">
        <f>'Ind T2'!B25</f>
        <v>835.68700000489434</v>
      </c>
      <c r="C32" s="11">
        <f>'Ind T2'!C25</f>
        <v>862.71200000122587</v>
      </c>
      <c r="D32" s="11">
        <f>'Ind T2'!D25</f>
        <v>864.73800000184247</v>
      </c>
      <c r="E32" s="11">
        <f>'Ind T2'!E25</f>
        <v>885.60900001319487</v>
      </c>
      <c r="F32" s="11">
        <f>'Ind T2'!F25</f>
        <v>957.57500000916639</v>
      </c>
      <c r="H32" s="11">
        <f t="shared" ref="H32" si="13">C32-B32</f>
        <v>27.02499999633153</v>
      </c>
      <c r="I32" s="30">
        <f t="shared" ref="I32:I33" si="14">D32-C32</f>
        <v>2.026000000616591</v>
      </c>
      <c r="J32" s="11">
        <f t="shared" ref="J32:J33" si="15">E32-D32</f>
        <v>20.871000011352407</v>
      </c>
      <c r="K32" s="11">
        <f t="shared" ref="K32:K33" si="16">F32-E32</f>
        <v>71.965999995971515</v>
      </c>
      <c r="L32" s="30">
        <f t="shared" si="4"/>
        <v>92.837000007323923</v>
      </c>
    </row>
    <row r="33" spans="1:12" ht="12.9" x14ac:dyDescent="0.35">
      <c r="A33" s="10" t="str">
        <f>'Ind T2'!A26</f>
        <v>Other services</v>
      </c>
      <c r="B33" s="11">
        <f>'Ind T2'!B26</f>
        <v>835.42600000250945</v>
      </c>
      <c r="C33" s="11">
        <f>'Ind T2'!C26</f>
        <v>864.11900000259288</v>
      </c>
      <c r="D33" s="11">
        <f>'Ind T2'!D26</f>
        <v>856.30799999733563</v>
      </c>
      <c r="E33" s="11">
        <f>'Ind T2'!E26</f>
        <v>849.44700000778357</v>
      </c>
      <c r="F33" s="11">
        <f>'Ind T2'!F26</f>
        <v>856.08400000381198</v>
      </c>
      <c r="H33" s="11">
        <f>C33-B33</f>
        <v>28.69300000008343</v>
      </c>
      <c r="I33" s="30">
        <f t="shared" si="14"/>
        <v>-7.8110000052572559</v>
      </c>
      <c r="J33" s="11">
        <f t="shared" si="15"/>
        <v>-6.8609999895520559</v>
      </c>
      <c r="K33" s="11">
        <f t="shared" si="16"/>
        <v>6.6369999960284076</v>
      </c>
      <c r="L33" s="30">
        <f t="shared" si="4"/>
        <v>-0.2239999935236483</v>
      </c>
    </row>
    <row r="34" spans="1:12" ht="12.9" x14ac:dyDescent="0.35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ht="12.9" x14ac:dyDescent="0.35">
      <c r="A35" s="29" t="str">
        <f>'Ind T1'!A12</f>
        <v>Non-marketed services</v>
      </c>
      <c r="B35" s="30">
        <f>'Ind T1'!B12</f>
        <v>7049.2849999266728</v>
      </c>
      <c r="C35" s="30">
        <f>'Ind T1'!C12</f>
        <v>7255.9809999418121</v>
      </c>
      <c r="D35" s="30">
        <f>'Ind T1'!D12</f>
        <v>7286.2549999996081</v>
      </c>
      <c r="E35" s="30">
        <f>'Ind T1'!E12</f>
        <v>7562.1109998015791</v>
      </c>
      <c r="F35" s="30">
        <f>'Ind T1'!F12</f>
        <v>7931.3150000336327</v>
      </c>
      <c r="H35" s="30">
        <f t="shared" si="0"/>
        <v>206.69600001513936</v>
      </c>
      <c r="I35" s="30">
        <f t="shared" si="1"/>
        <v>30.274000057796002</v>
      </c>
      <c r="J35" s="30">
        <f t="shared" si="2"/>
        <v>275.85599980197094</v>
      </c>
      <c r="K35" s="30">
        <f t="shared" si="3"/>
        <v>369.20400023205366</v>
      </c>
      <c r="L35" s="30">
        <f t="shared" si="4"/>
        <v>645.0600000340246</v>
      </c>
    </row>
    <row r="36" spans="1:12" ht="12.9" x14ac:dyDescent="0.35">
      <c r="A36" s="10" t="str">
        <f>'Ind T2'!A22</f>
        <v>Public admin. and defence</v>
      </c>
      <c r="B36" s="31">
        <f>'Ind T2'!B22</f>
        <v>1050.7089999919901</v>
      </c>
      <c r="C36" s="31">
        <f>'Ind T2'!C22</f>
        <v>1063.7109999941283</v>
      </c>
      <c r="D36" s="31">
        <f>'Ind T2'!D22</f>
        <v>1106.4329999965846</v>
      </c>
      <c r="E36" s="31">
        <f>'Ind T2'!E22</f>
        <v>1135.5730000018098</v>
      </c>
      <c r="F36" s="31">
        <f>'Ind T2'!F22</f>
        <v>1158.0480000032949</v>
      </c>
      <c r="H36" s="11">
        <f t="shared" si="0"/>
        <v>13.002000002138175</v>
      </c>
      <c r="I36" s="30">
        <f t="shared" si="1"/>
        <v>42.722000002456298</v>
      </c>
      <c r="J36" s="11">
        <f t="shared" si="2"/>
        <v>29.140000005225147</v>
      </c>
      <c r="K36" s="11">
        <f t="shared" si="3"/>
        <v>22.475000001485114</v>
      </c>
      <c r="L36" s="30">
        <f t="shared" si="4"/>
        <v>51.615000006710261</v>
      </c>
    </row>
    <row r="37" spans="1:12" ht="12.9" x14ac:dyDescent="0.35">
      <c r="A37" s="10" t="str">
        <f>'Ind T2'!A23</f>
        <v>Education</v>
      </c>
      <c r="B37" s="31">
        <f>'Ind T2'!B23</f>
        <v>2527.3159999829504</v>
      </c>
      <c r="C37" s="31">
        <f>'Ind T2'!C23</f>
        <v>2523.798999987217</v>
      </c>
      <c r="D37" s="31">
        <f>'Ind T2'!D23</f>
        <v>2531.7800000098377</v>
      </c>
      <c r="E37" s="31">
        <f>'Ind T2'!E23</f>
        <v>2543.3239998348904</v>
      </c>
      <c r="F37" s="31">
        <f>'Ind T2'!F23</f>
        <v>2633.2330000334459</v>
      </c>
      <c r="H37" s="11">
        <f t="shared" si="0"/>
        <v>-3.5169999957333857</v>
      </c>
      <c r="I37" s="30">
        <f t="shared" si="1"/>
        <v>7.9810000226207194</v>
      </c>
      <c r="J37" s="11">
        <f t="shared" si="2"/>
        <v>11.543999825052651</v>
      </c>
      <c r="K37" s="11">
        <f t="shared" si="3"/>
        <v>89.909000198555532</v>
      </c>
      <c r="L37" s="30">
        <f t="shared" si="4"/>
        <v>101.45300002360818</v>
      </c>
    </row>
    <row r="38" spans="1:12" ht="12.9" x14ac:dyDescent="0.35">
      <c r="A38" s="10" t="str">
        <f>'Ind T2'!A24</f>
        <v>Health and social work</v>
      </c>
      <c r="B38" s="31">
        <f>'Ind T2'!B24</f>
        <v>3471.2599999517329</v>
      </c>
      <c r="C38" s="31">
        <f>'Ind T2'!C24</f>
        <v>3668.4709999604661</v>
      </c>
      <c r="D38" s="31">
        <f>'Ind T2'!D24</f>
        <v>3648.0419999931846</v>
      </c>
      <c r="E38" s="31">
        <f>'Ind T2'!E24</f>
        <v>3883.2139999648793</v>
      </c>
      <c r="F38" s="31">
        <f>'Ind T2'!F24</f>
        <v>4140.0339999968919</v>
      </c>
      <c r="H38" s="11">
        <f t="shared" si="0"/>
        <v>197.21100000873321</v>
      </c>
      <c r="I38" s="30">
        <f t="shared" si="1"/>
        <v>-20.42899996728147</v>
      </c>
      <c r="J38" s="11">
        <f t="shared" si="2"/>
        <v>235.17199997169473</v>
      </c>
      <c r="K38" s="11">
        <f t="shared" si="3"/>
        <v>256.82000003201256</v>
      </c>
      <c r="L38" s="30">
        <f t="shared" si="4"/>
        <v>491.99200000370729</v>
      </c>
    </row>
    <row r="39" spans="1:12" ht="12.9" x14ac:dyDescent="0.35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ht="12.9" x14ac:dyDescent="0.35">
      <c r="A40" s="38" t="str">
        <f>'Ind T1'!A14</f>
        <v>All industries</v>
      </c>
      <c r="B40" s="32">
        <f>'Ind T1'!B14</f>
        <v>28656.171999997761</v>
      </c>
      <c r="C40" s="32">
        <f>'Ind T1'!C14</f>
        <v>30212.759999993876</v>
      </c>
      <c r="D40" s="32">
        <f>'Ind T1'!D14</f>
        <v>29859.680999995031</v>
      </c>
      <c r="E40" s="32">
        <f>'Ind T1'!E14</f>
        <v>30754.748000010026</v>
      </c>
      <c r="F40" s="32">
        <f>'Ind T1'!F14</f>
        <v>32070.090999998905</v>
      </c>
      <c r="G40" s="23"/>
      <c r="H40" s="33">
        <f t="shared" si="0"/>
        <v>1556.5879999961144</v>
      </c>
      <c r="I40" s="33">
        <f>D40-C40</f>
        <v>-353.07899999884467</v>
      </c>
      <c r="J40" s="33">
        <f>E40-D40</f>
        <v>895.06700001499485</v>
      </c>
      <c r="K40" s="33">
        <f>F40-E40</f>
        <v>1315.3429999888795</v>
      </c>
      <c r="L40" s="205">
        <f t="shared" si="4"/>
        <v>2210.4100000038743</v>
      </c>
    </row>
    <row r="44" spans="1:12" ht="15.45" x14ac:dyDescent="0.4">
      <c r="A44" s="18" t="str">
        <f>CONCATENATE(A1," (Continued)")</f>
        <v>Industry Table 4  Employment by Industry Group in Sector (SIC 2007), 2015-2035, England (Continued)</v>
      </c>
    </row>
    <row r="46" spans="1:12" x14ac:dyDescent="0.3">
      <c r="L46" s="15" t="s">
        <v>20</v>
      </c>
    </row>
    <row r="47" spans="1:12" x14ac:dyDescent="0.3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3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ht="12.9" x14ac:dyDescent="0.35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1.9148170241051421</v>
      </c>
      <c r="C50" s="43">
        <f t="shared" si="17"/>
        <v>-7.4150565071015357</v>
      </c>
      <c r="D50" s="43">
        <f t="shared" si="17"/>
        <v>0.24198080478512463</v>
      </c>
      <c r="E50" s="43">
        <f t="shared" si="17"/>
        <v>0.18549650282944086</v>
      </c>
      <c r="F50" s="43">
        <f>IF(AND(F$5-D$5 &lt;&gt; 0,D7&lt;&gt;0,F7&lt;&gt;0),(EXP(LN(F7/D7)/(F$5-D$5))-1)*100,0)</f>
        <v>0.20432106617911394</v>
      </c>
      <c r="H50" s="43">
        <f>(B7/B$40)*100</f>
        <v>1.9374395156493867</v>
      </c>
      <c r="I50" s="43">
        <f>(C7/C$40)*100</f>
        <v>1.9824637007725368</v>
      </c>
      <c r="J50" s="43">
        <f>(D7/D$40)*100</f>
        <v>1.8571665249811318</v>
      </c>
      <c r="K50" s="43">
        <f>(E7/E$40)*100</f>
        <v>1.8250385273858316</v>
      </c>
      <c r="L50" s="43">
        <f>(F7/F$40)*100</f>
        <v>1.7829229109397164</v>
      </c>
    </row>
    <row r="51" spans="1:12" ht="12.9" x14ac:dyDescent="0.35">
      <c r="A51" t="str">
        <f>A8</f>
        <v>Agriculture</v>
      </c>
      <c r="B51" s="39">
        <f t="shared" si="17"/>
        <v>0.7283998579951545</v>
      </c>
      <c r="C51" s="43">
        <f t="shared" si="17"/>
        <v>-11.356097056927039</v>
      </c>
      <c r="D51" s="39">
        <f t="shared" si="17"/>
        <v>0.59400095114181539</v>
      </c>
      <c r="E51" s="39">
        <f t="shared" si="17"/>
        <v>9.0799349647752159E-2</v>
      </c>
      <c r="F51" s="43">
        <f t="shared" ref="F51:F83" si="18">IF(AND(F$5-D$5 &lt;&gt; 0,D8&lt;&gt;0,F8&lt;&gt;0),(EXP(LN(F8/D8)/(F$5-D$5))-1)*100,0)</f>
        <v>0.25825290801375633</v>
      </c>
      <c r="H51" s="39">
        <f t="shared" ref="H51:L54" si="19">(B8/B$7)*100</f>
        <v>47.310139122162731</v>
      </c>
      <c r="I51" s="39">
        <f t="shared" si="19"/>
        <v>45.14531093237656</v>
      </c>
      <c r="J51" s="39">
        <f t="shared" si="19"/>
        <v>43.223621570081669</v>
      </c>
      <c r="K51" s="39">
        <f t="shared" si="19"/>
        <v>43.98791346987278</v>
      </c>
      <c r="L51" s="39">
        <f t="shared" si="19"/>
        <v>43.573895782309251</v>
      </c>
    </row>
    <row r="52" spans="1:12" ht="12.9" x14ac:dyDescent="0.35">
      <c r="A52" t="str">
        <f>A9</f>
        <v>Mining and quarrying</v>
      </c>
      <c r="B52" s="39">
        <f t="shared" si="17"/>
        <v>-5.760149536916237</v>
      </c>
      <c r="C52" s="43">
        <f t="shared" si="17"/>
        <v>2.2190706599695575</v>
      </c>
      <c r="D52" s="39">
        <f t="shared" si="17"/>
        <v>-4.2254460829095901</v>
      </c>
      <c r="E52" s="39">
        <f t="shared" si="17"/>
        <v>-2.9102210176553123</v>
      </c>
      <c r="F52" s="43">
        <f t="shared" si="18"/>
        <v>-3.3506240374687857</v>
      </c>
      <c r="H52" s="39">
        <f t="shared" si="19"/>
        <v>5.4746431890422906</v>
      </c>
      <c r="I52" s="39">
        <f t="shared" si="19"/>
        <v>4.0026245623510714</v>
      </c>
      <c r="J52" s="39">
        <f t="shared" si="19"/>
        <v>4.4191263452645133</v>
      </c>
      <c r="K52" s="39">
        <f t="shared" si="19"/>
        <v>3.5183489344185954</v>
      </c>
      <c r="L52" s="39">
        <f t="shared" si="19"/>
        <v>2.5705466215604478</v>
      </c>
    </row>
    <row r="53" spans="1:12" ht="12.9" x14ac:dyDescent="0.35">
      <c r="A53" t="str">
        <f>A10</f>
        <v>Electricity and gas</v>
      </c>
      <c r="B53" s="39">
        <f t="shared" si="17"/>
        <v>4.7648576757263195</v>
      </c>
      <c r="C53" s="43">
        <f t="shared" si="17"/>
        <v>-0.22856566640617748</v>
      </c>
      <c r="D53" s="39">
        <f t="shared" si="17"/>
        <v>-0.76664920017744942</v>
      </c>
      <c r="E53" s="39">
        <f t="shared" si="17"/>
        <v>-6.6281073622831421E-2</v>
      </c>
      <c r="F53" s="43">
        <f t="shared" si="18"/>
        <v>-0.30028462793940669</v>
      </c>
      <c r="H53" s="39">
        <f t="shared" si="19"/>
        <v>17.79299562667801</v>
      </c>
      <c r="I53" s="39">
        <f t="shared" si="19"/>
        <v>19.868371185108725</v>
      </c>
      <c r="J53" s="39">
        <f t="shared" si="19"/>
        <v>21.410564355559504</v>
      </c>
      <c r="K53" s="39">
        <f t="shared" si="19"/>
        <v>20.354863652528103</v>
      </c>
      <c r="L53" s="39">
        <f t="shared" si="19"/>
        <v>19.849069143114793</v>
      </c>
    </row>
    <row r="54" spans="1:12" ht="12.9" x14ac:dyDescent="0.35">
      <c r="A54" t="str">
        <f>A11</f>
        <v>Water and sewerage</v>
      </c>
      <c r="B54" s="39">
        <f t="shared" si="17"/>
        <v>3.2408943744891561</v>
      </c>
      <c r="C54" s="43">
        <f t="shared" si="17"/>
        <v>-7.5256359826557535</v>
      </c>
      <c r="D54" s="39">
        <f t="shared" si="17"/>
        <v>1.0026890846198233</v>
      </c>
      <c r="E54" s="39">
        <f t="shared" si="17"/>
        <v>0.75299572716360785</v>
      </c>
      <c r="F54" s="43">
        <f t="shared" si="18"/>
        <v>0.83615818436593159</v>
      </c>
      <c r="H54" s="39">
        <f t="shared" si="19"/>
        <v>29.422222062116983</v>
      </c>
      <c r="I54" s="39">
        <f t="shared" si="19"/>
        <v>30.983693320163653</v>
      </c>
      <c r="J54" s="39">
        <f t="shared" si="19"/>
        <v>30.946687729094307</v>
      </c>
      <c r="K54" s="39">
        <f t="shared" si="19"/>
        <v>32.138873943180521</v>
      </c>
      <c r="L54" s="39">
        <f t="shared" si="19"/>
        <v>34.006488453015493</v>
      </c>
    </row>
    <row r="55" spans="1:12" ht="12.9" x14ac:dyDescent="0.35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ht="12.9" x14ac:dyDescent="0.35">
      <c r="A56" s="29" t="str">
        <f>A13</f>
        <v>Manufacturing</v>
      </c>
      <c r="B56" s="43">
        <f t="shared" ref="B56:E59" si="20">IF(AND(C$5-B$5 &lt;&gt; 0,B13&lt;&gt;0,C13&lt;&gt;0),(EXP(LN(C13/B13)/(C$5-B$5))-1)*100,0)</f>
        <v>0.64006656167869824</v>
      </c>
      <c r="C56" s="43">
        <f t="shared" si="20"/>
        <v>-2.0421832376226856</v>
      </c>
      <c r="D56" s="43">
        <f t="shared" si="20"/>
        <v>-0.71367001062634383</v>
      </c>
      <c r="E56" s="43">
        <f t="shared" si="20"/>
        <v>-0.83593683740823543</v>
      </c>
      <c r="F56" s="43">
        <f t="shared" si="18"/>
        <v>-0.79519796723452885</v>
      </c>
      <c r="H56" s="43">
        <f>(B13/B$40)*100</f>
        <v>7.6690005908649317</v>
      </c>
      <c r="I56" s="43">
        <f>(C13/C$40)*100</f>
        <v>7.4619134431852059</v>
      </c>
      <c r="J56" s="43">
        <f>(D13/D$40)*100</f>
        <v>7.3959597893784386</v>
      </c>
      <c r="K56" s="43">
        <f>(E13/E$40)*100</f>
        <v>6.9281107424807971</v>
      </c>
      <c r="L56" s="43">
        <f>(F13/F$40)*100</f>
        <v>6.1089973208981254</v>
      </c>
    </row>
    <row r="57" spans="1:12" ht="12.9" x14ac:dyDescent="0.35">
      <c r="A57" t="str">
        <f>A14</f>
        <v>Food drink and tobacco</v>
      </c>
      <c r="B57" s="39">
        <f t="shared" si="20"/>
        <v>1.9704069912768407</v>
      </c>
      <c r="C57" s="43">
        <f t="shared" si="20"/>
        <v>0.23687305729045427</v>
      </c>
      <c r="D57" s="39">
        <f t="shared" si="20"/>
        <v>0.24399507541972287</v>
      </c>
      <c r="E57" s="39">
        <f t="shared" si="20"/>
        <v>-0.26452217477451745</v>
      </c>
      <c r="F57" s="43">
        <f t="shared" si="18"/>
        <v>-9.5303695488824225E-2</v>
      </c>
      <c r="H57" s="39">
        <f t="shared" ref="H57:L59" si="21">(B14/B$13)*100</f>
        <v>15.422348135021116</v>
      </c>
      <c r="I57" s="39">
        <f t="shared" si="21"/>
        <v>16.254119630105848</v>
      </c>
      <c r="J57" s="39">
        <f t="shared" si="21"/>
        <v>16.632282954745108</v>
      </c>
      <c r="K57" s="39">
        <f t="shared" si="21"/>
        <v>17.450039259073801</v>
      </c>
      <c r="L57" s="39">
        <f t="shared" si="21"/>
        <v>18.482044099464407</v>
      </c>
    </row>
    <row r="58" spans="1:12" ht="12.9" x14ac:dyDescent="0.35">
      <c r="A58" t="str">
        <f>A15</f>
        <v>Engineering</v>
      </c>
      <c r="B58" s="39">
        <f t="shared" si="20"/>
        <v>0.56494284275070417</v>
      </c>
      <c r="C58" s="43">
        <f t="shared" si="20"/>
        <v>-4.7374978595105866</v>
      </c>
      <c r="D58" s="39">
        <f t="shared" si="20"/>
        <v>0.38926400828114271</v>
      </c>
      <c r="E58" s="39">
        <f t="shared" si="20"/>
        <v>-1.2473998734408687</v>
      </c>
      <c r="F58" s="43">
        <f t="shared" si="18"/>
        <v>-0.70483169273352075</v>
      </c>
      <c r="H58" s="39">
        <f t="shared" si="21"/>
        <v>15.068650853920682</v>
      </c>
      <c r="I58" s="39">
        <f t="shared" si="21"/>
        <v>15.023708665068538</v>
      </c>
      <c r="J58" s="39">
        <f t="shared" si="21"/>
        <v>14.610330509263255</v>
      </c>
      <c r="K58" s="39">
        <f t="shared" si="21"/>
        <v>15.440064241088541</v>
      </c>
      <c r="L58" s="39">
        <f t="shared" si="21"/>
        <v>14.811238075902496</v>
      </c>
    </row>
    <row r="59" spans="1:12" ht="12.9" x14ac:dyDescent="0.35">
      <c r="A59" t="str">
        <f>A16</f>
        <v>Rest of manufacturing</v>
      </c>
      <c r="B59" s="39">
        <f t="shared" si="20"/>
        <v>0.35404269721375226</v>
      </c>
      <c r="C59" s="43">
        <f t="shared" si="20"/>
        <v>-1.9919873853510128</v>
      </c>
      <c r="D59" s="39">
        <f t="shared" si="20"/>
        <v>-1.1940952200923838</v>
      </c>
      <c r="E59" s="39">
        <f t="shared" si="20"/>
        <v>-0.89567368434124717</v>
      </c>
      <c r="F59" s="43">
        <f t="shared" si="18"/>
        <v>-0.99524754169800778</v>
      </c>
      <c r="H59" s="39">
        <f t="shared" si="21"/>
        <v>69.509001011058174</v>
      </c>
      <c r="I59" s="39">
        <f t="shared" si="21"/>
        <v>68.72217170482557</v>
      </c>
      <c r="J59" s="39">
        <f t="shared" si="21"/>
        <v>68.757386535991643</v>
      </c>
      <c r="K59" s="39">
        <f t="shared" si="21"/>
        <v>67.109896499837646</v>
      </c>
      <c r="L59" s="39">
        <f t="shared" si="21"/>
        <v>66.706717824633088</v>
      </c>
    </row>
    <row r="60" spans="1:12" ht="12.9" x14ac:dyDescent="0.35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ht="12.9" x14ac:dyDescent="0.35">
      <c r="A61" s="29" t="str">
        <f>A18</f>
        <v>Construction</v>
      </c>
      <c r="B61" s="43">
        <f>IF(AND(C$5-B$5 &lt;&gt; 0,B18&lt;&gt;0,C18&lt;&gt;0),(EXP(LN(C18/B18)/(C$5-B$5))-1)*100,0)</f>
        <v>2.6223196022649553</v>
      </c>
      <c r="C61" s="43">
        <f>IF(AND(D$5-C$5 &lt;&gt; 0,C18&lt;&gt;0,D18&lt;&gt;0),(EXP(LN(D18/C18)/(D$5-C$5))-1)*100,0)</f>
        <v>0.15214670358842941</v>
      </c>
      <c r="D61" s="43">
        <f>IF(AND(E$5-D$5 &lt;&gt; 0,D18&lt;&gt;0,E18&lt;&gt;0),(EXP(LN(E18/D18)/(E$5-D$5))-1)*100,0)</f>
        <v>0.96293625784324988</v>
      </c>
      <c r="E61" s="43">
        <f>IF(AND(F$5-E$5 &lt;&gt; 0,E18&lt;&gt;0,F18&lt;&gt;0),(EXP(LN(F18/E18)/(F$5-E$5))-1)*100,0)</f>
        <v>0.71072070986890612</v>
      </c>
      <c r="F61" s="43">
        <f t="shared" si="18"/>
        <v>0.794722474715015</v>
      </c>
      <c r="H61" s="43">
        <f>(B18/B$40)*100</f>
        <v>6.2826046688388368</v>
      </c>
      <c r="I61" s="43">
        <f>(C18/C$40)*100</f>
        <v>6.6089857398658278</v>
      </c>
      <c r="J61" s="43">
        <f>(D18/D$40)*100</f>
        <v>6.6973086550188379</v>
      </c>
      <c r="K61" s="43">
        <f>(E18/E$40)*100</f>
        <v>6.8215515858968594</v>
      </c>
      <c r="L61" s="43">
        <f>(F18/F$40)*100</f>
        <v>7.0218603369316819</v>
      </c>
    </row>
    <row r="62" spans="1:12" ht="12.9" x14ac:dyDescent="0.35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ht="12.9" x14ac:dyDescent="0.35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1.5669384942846643</v>
      </c>
      <c r="C63" s="43">
        <f t="shared" si="22"/>
        <v>-1.6159647152387713</v>
      </c>
      <c r="D63" s="43">
        <f t="shared" si="22"/>
        <v>0.56872013758217932</v>
      </c>
      <c r="E63" s="43">
        <f t="shared" si="22"/>
        <v>0.46597248034483396</v>
      </c>
      <c r="F63" s="43">
        <f t="shared" si="18"/>
        <v>0.50021003036864187</v>
      </c>
      <c r="H63" s="43">
        <f>(B20/B$40)*100</f>
        <v>26.259808882083448</v>
      </c>
      <c r="I63" s="43">
        <f>(C20/C$40)*100</f>
        <v>26.505059451964829</v>
      </c>
      <c r="J63" s="43">
        <f>(D20/D$40)*100</f>
        <v>26.385094335233529</v>
      </c>
      <c r="K63" s="43">
        <f>(E20/E$40)*100</f>
        <v>26.353982806687821</v>
      </c>
      <c r="L63" s="43">
        <f>(F20/F$40)*100</f>
        <v>26.47574339587986</v>
      </c>
    </row>
    <row r="64" spans="1:12" ht="12.9" x14ac:dyDescent="0.35">
      <c r="A64" t="str">
        <f>A21</f>
        <v>Wholesale and retail trade</v>
      </c>
      <c r="B64" s="39">
        <f t="shared" si="22"/>
        <v>0.28867494231583635</v>
      </c>
      <c r="C64" s="43">
        <f t="shared" si="22"/>
        <v>-0.73590035108294094</v>
      </c>
      <c r="D64" s="39">
        <f t="shared" si="22"/>
        <v>0.11244683864457539</v>
      </c>
      <c r="E64" s="39">
        <f t="shared" si="22"/>
        <v>0.10418311078312925</v>
      </c>
      <c r="F64" s="43">
        <f t="shared" si="18"/>
        <v>0.10693761094249243</v>
      </c>
      <c r="H64" s="39">
        <f t="shared" ref="H64:L66" si="23">(B21/B$20)*100</f>
        <v>56.37181969156061</v>
      </c>
      <c r="I64" s="39">
        <f t="shared" si="23"/>
        <v>53.5870907641836</v>
      </c>
      <c r="J64" s="39">
        <f t="shared" si="23"/>
        <v>54.066437731644754</v>
      </c>
      <c r="K64" s="39">
        <f t="shared" si="23"/>
        <v>52.851037883563599</v>
      </c>
      <c r="L64" s="39">
        <f t="shared" si="23"/>
        <v>50.978359505739625</v>
      </c>
    </row>
    <row r="65" spans="1:12" ht="12.9" x14ac:dyDescent="0.35">
      <c r="A65" t="str">
        <f>A22</f>
        <v>Transport and storage</v>
      </c>
      <c r="B65" s="39">
        <f>IF(AND(C$5-B$5 &lt;&gt; 0,B22&lt;&gt;0,C22&lt;&gt;0),(EXP(LN(C22/B22)/(C$5-B$5))-1)*100,0)</f>
        <v>3.3163391789962304</v>
      </c>
      <c r="C65" s="43">
        <f t="shared" si="22"/>
        <v>-0.75102398040908236</v>
      </c>
      <c r="D65" s="39">
        <f t="shared" si="22"/>
        <v>1.2954453069585981</v>
      </c>
      <c r="E65" s="39">
        <f t="shared" si="22"/>
        <v>0.1936659923351014</v>
      </c>
      <c r="F65" s="43">
        <f t="shared" si="18"/>
        <v>0.55958773788067351</v>
      </c>
      <c r="H65" s="39">
        <f t="shared" si="23"/>
        <v>18.599808426538086</v>
      </c>
      <c r="I65" s="39">
        <f t="shared" si="23"/>
        <v>19.9147592814661</v>
      </c>
      <c r="J65" s="39">
        <f t="shared" si="23"/>
        <v>20.089839379339825</v>
      </c>
      <c r="K65" s="39">
        <f t="shared" si="23"/>
        <v>20.826267309807957</v>
      </c>
      <c r="L65" s="39">
        <f t="shared" si="23"/>
        <v>20.26862031189917</v>
      </c>
    </row>
    <row r="66" spans="1:12" ht="12.9" x14ac:dyDescent="0.35">
      <c r="A66" t="str">
        <f>A23</f>
        <v>Accommodation and food</v>
      </c>
      <c r="B66" s="39">
        <f t="shared" si="22"/>
        <v>3.0262993239237312</v>
      </c>
      <c r="C66" s="43">
        <f t="shared" si="22"/>
        <v>-4.0457636105627355</v>
      </c>
      <c r="D66" s="39">
        <f t="shared" si="22"/>
        <v>0.93876291088685893</v>
      </c>
      <c r="E66" s="39">
        <f t="shared" si="22"/>
        <v>1.3571299587799679</v>
      </c>
      <c r="F66" s="43">
        <f t="shared" si="18"/>
        <v>1.2174819600557552</v>
      </c>
      <c r="H66" s="39">
        <f t="shared" si="23"/>
        <v>25.028371881901297</v>
      </c>
      <c r="I66" s="39">
        <f t="shared" si="23"/>
        <v>26.498149954350303</v>
      </c>
      <c r="J66" s="39">
        <f t="shared" si="23"/>
        <v>25.843722889015432</v>
      </c>
      <c r="K66" s="39">
        <f t="shared" si="23"/>
        <v>26.322694806628455</v>
      </c>
      <c r="L66" s="39">
        <f t="shared" si="23"/>
        <v>28.753020182361212</v>
      </c>
    </row>
    <row r="67" spans="1:12" ht="12.9" x14ac:dyDescent="0.35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ht="12.9" x14ac:dyDescent="0.35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1.4632345432583849</v>
      </c>
      <c r="C68" s="43">
        <f t="shared" si="24"/>
        <v>-1.6490530219306021</v>
      </c>
      <c r="D68" s="43">
        <f t="shared" si="24"/>
        <v>0.72520380800762396</v>
      </c>
      <c r="E68" s="43">
        <f t="shared" si="24"/>
        <v>0.53793114644675732</v>
      </c>
      <c r="F68" s="43">
        <f t="shared" si="18"/>
        <v>0.60031664769235604</v>
      </c>
      <c r="H68" s="43">
        <f>(B25/B$40)*100</f>
        <v>33.251611554988756</v>
      </c>
      <c r="I68" s="43">
        <f>(C25/C$40)*100</f>
        <v>33.425297787949773</v>
      </c>
      <c r="J68" s="43">
        <f>(D25/D$40)*100</f>
        <v>33.26282018880422</v>
      </c>
      <c r="K68" s="43">
        <f>(E25/E$40)*100</f>
        <v>33.482882058070565</v>
      </c>
      <c r="L68" s="43">
        <f>(F25/F$40)*100</f>
        <v>33.879286466746329</v>
      </c>
    </row>
    <row r="69" spans="1:12" ht="12.9" x14ac:dyDescent="0.35">
      <c r="A69" t="str">
        <f>A26</f>
        <v>Media</v>
      </c>
      <c r="B69" s="39">
        <f t="shared" si="24"/>
        <v>0.41813299181927555</v>
      </c>
      <c r="C69" s="43">
        <f t="shared" si="24"/>
        <v>0.9311731512312571</v>
      </c>
      <c r="D69" s="39">
        <f t="shared" si="24"/>
        <v>0.24929218683882315</v>
      </c>
      <c r="E69" s="39">
        <f t="shared" si="24"/>
        <v>0.10948525813434529</v>
      </c>
      <c r="F69" s="43">
        <f t="shared" si="18"/>
        <v>0.15606589051742059</v>
      </c>
      <c r="H69" s="39">
        <f t="shared" ref="H69:L71" si="25">(B26/B$25)*100</f>
        <v>3.5623450526443952</v>
      </c>
      <c r="I69" s="39">
        <f t="shared" si="25"/>
        <v>3.4178243646126418</v>
      </c>
      <c r="J69" s="39">
        <f t="shared" si="25"/>
        <v>3.5074906073058654</v>
      </c>
      <c r="K69" s="39">
        <f t="shared" si="25"/>
        <v>3.4254080766380195</v>
      </c>
      <c r="L69" s="39">
        <f t="shared" si="25"/>
        <v>3.28220089282188</v>
      </c>
    </row>
    <row r="70" spans="1:12" ht="12.9" x14ac:dyDescent="0.35">
      <c r="A70" t="str">
        <f>A27</f>
        <v>Information technology</v>
      </c>
      <c r="B70" s="39">
        <f t="shared" si="24"/>
        <v>1.5446666266863307</v>
      </c>
      <c r="C70" s="43">
        <f t="shared" si="24"/>
        <v>0.60639193851115269</v>
      </c>
      <c r="D70" s="39">
        <f t="shared" si="24"/>
        <v>1.4487494599613848</v>
      </c>
      <c r="E70" s="39">
        <f t="shared" si="24"/>
        <v>0.77348225329973985</v>
      </c>
      <c r="F70" s="43">
        <f t="shared" si="18"/>
        <v>0.99807042338080354</v>
      </c>
      <c r="H70" s="39">
        <f t="shared" si="25"/>
        <v>9.821832897559208</v>
      </c>
      <c r="I70" s="39">
        <f t="shared" si="25"/>
        <v>9.8534019955313141</v>
      </c>
      <c r="J70" s="39">
        <f t="shared" si="25"/>
        <v>10.079366325889858</v>
      </c>
      <c r="K70" s="39">
        <f t="shared" si="25"/>
        <v>10.446623554868857</v>
      </c>
      <c r="L70" s="39">
        <f t="shared" si="25"/>
        <v>10.693974975652925</v>
      </c>
    </row>
    <row r="71" spans="1:12" ht="12.9" x14ac:dyDescent="0.35">
      <c r="A71" t="str">
        <f>A28</f>
        <v>Finance and insurance</v>
      </c>
      <c r="B71" s="39">
        <f t="shared" si="24"/>
        <v>0.61134572309837765</v>
      </c>
      <c r="C71" s="43">
        <f t="shared" si="24"/>
        <v>0.68635719895859815</v>
      </c>
      <c r="D71" s="39">
        <f t="shared" si="24"/>
        <v>3.3067186240476332E-2</v>
      </c>
      <c r="E71" s="39">
        <f t="shared" si="24"/>
        <v>-0.25161090540002373</v>
      </c>
      <c r="F71" s="43">
        <f t="shared" si="18"/>
        <v>-0.1568083387042507</v>
      </c>
      <c r="H71" s="39">
        <f t="shared" si="25"/>
        <v>10.224650130979844</v>
      </c>
      <c r="I71" s="39">
        <f t="shared" si="25"/>
        <v>9.8855645351977994</v>
      </c>
      <c r="J71" s="39">
        <f t="shared" si="25"/>
        <v>10.120303997949579</v>
      </c>
      <c r="K71" s="39">
        <f t="shared" si="25"/>
        <v>9.7773398322530554</v>
      </c>
      <c r="L71" s="39">
        <f t="shared" si="25"/>
        <v>9.0360822588557923</v>
      </c>
    </row>
    <row r="72" spans="1:12" ht="12.9" x14ac:dyDescent="0.35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0.62110430846624709</v>
      </c>
      <c r="C72" s="43">
        <f t="shared" si="27"/>
        <v>10.511674215107103</v>
      </c>
      <c r="D72" s="39">
        <f t="shared" si="27"/>
        <v>-0.64549854095338199</v>
      </c>
      <c r="E72" s="39">
        <f t="shared" si="27"/>
        <v>0.8737814201959182</v>
      </c>
      <c r="F72" s="43">
        <f t="shared" si="18"/>
        <v>0.36479081286955317</v>
      </c>
      <c r="H72" s="39">
        <f t="shared" ref="H72:L72" si="28">(B29/B$25)*100</f>
        <v>5.2442851492228888</v>
      </c>
      <c r="I72" s="39">
        <f t="shared" si="28"/>
        <v>5.0723335318845031</v>
      </c>
      <c r="J72" s="39">
        <f t="shared" si="28"/>
        <v>5.6995086271103981</v>
      </c>
      <c r="K72" s="39">
        <f t="shared" si="28"/>
        <v>5.3221165835478272</v>
      </c>
      <c r="L72" s="39">
        <f t="shared" si="28"/>
        <v>5.5026001558192421</v>
      </c>
    </row>
    <row r="73" spans="1:12" ht="12.9" x14ac:dyDescent="0.35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2.5274519586056421</v>
      </c>
      <c r="C73" s="43">
        <f t="shared" si="29"/>
        <v>-2.5882856710917723</v>
      </c>
      <c r="D73" s="39">
        <f t="shared" si="29"/>
        <v>0.98902502688482663</v>
      </c>
      <c r="E73" s="39">
        <f t="shared" si="29"/>
        <v>0.63301310656305176</v>
      </c>
      <c r="F73" s="43">
        <f t="shared" si="18"/>
        <v>0.75154407970337012</v>
      </c>
      <c r="H73" s="39">
        <f t="shared" ref="H73:L73" si="30">(B30/B$25)*100</f>
        <v>27.369396615557847</v>
      </c>
      <c r="I73" s="39">
        <f t="shared" si="30"/>
        <v>28.535866727218174</v>
      </c>
      <c r="J73" s="39">
        <f t="shared" si="30"/>
        <v>28.263354682079537</v>
      </c>
      <c r="K73" s="39">
        <f t="shared" si="30"/>
        <v>28.635438087601113</v>
      </c>
      <c r="L73" s="39">
        <f t="shared" si="30"/>
        <v>28.907408092631236</v>
      </c>
    </row>
    <row r="74" spans="1:12" ht="12.9" x14ac:dyDescent="0.35">
      <c r="A74" t="str">
        <f t="shared" si="26"/>
        <v>Support services</v>
      </c>
      <c r="B74" s="39">
        <f t="shared" ref="B74:E74" si="31">IF(AND(C$5-B$5 &lt;&gt; 0,B31&lt;&gt;0,C31&lt;&gt;0),(EXP(LN(C31/B31)/(C$5-B$5))-1)*100,0)</f>
        <v>1.362337765677557</v>
      </c>
      <c r="C74" s="43">
        <f t="shared" si="31"/>
        <v>-5.9145356144433503</v>
      </c>
      <c r="D74" s="39">
        <f t="shared" si="31"/>
        <v>1.1581129426044834</v>
      </c>
      <c r="E74" s="39">
        <f t="shared" si="31"/>
        <v>0.67147625986130333</v>
      </c>
      <c r="F74" s="43">
        <f t="shared" si="18"/>
        <v>0.83342781409669886</v>
      </c>
      <c r="H74" s="39">
        <f>(B31/B$25)*100</f>
        <v>26.239696981129473</v>
      </c>
      <c r="I74" s="39">
        <f t="shared" ref="I74:L74" si="32">(C31/C$25)*100</f>
        <v>26.135479747406336</v>
      </c>
      <c r="J74" s="39">
        <f t="shared" si="32"/>
        <v>25.001983453421602</v>
      </c>
      <c r="K74" s="39">
        <f t="shared" si="32"/>
        <v>25.54390470135689</v>
      </c>
      <c r="L74" s="39">
        <f t="shared" si="32"/>
        <v>25.885241191030516</v>
      </c>
    </row>
    <row r="75" spans="1:12" ht="12.9" x14ac:dyDescent="0.35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0.79884322930838803</v>
      </c>
      <c r="C75" s="43">
        <f t="shared" si="33"/>
        <v>0.23484082760105718</v>
      </c>
      <c r="D75" s="39">
        <f t="shared" si="33"/>
        <v>0.47811881939865408</v>
      </c>
      <c r="E75" s="39">
        <f t="shared" si="33"/>
        <v>0.78434502558848429</v>
      </c>
      <c r="F75" s="43">
        <f t="shared" si="18"/>
        <v>0.68216606566100513</v>
      </c>
      <c r="H75" s="39">
        <f t="shared" ref="H75:L75" si="34">(B32/B$25)*100</f>
        <v>8.7702661419709429</v>
      </c>
      <c r="I75" s="39">
        <f t="shared" si="34"/>
        <v>8.5427983093370869</v>
      </c>
      <c r="J75" s="39">
        <f t="shared" si="34"/>
        <v>8.7064340005759142</v>
      </c>
      <c r="K75" s="39">
        <f t="shared" si="34"/>
        <v>8.6001695933545896</v>
      </c>
      <c r="L75" s="39">
        <f t="shared" si="34"/>
        <v>8.8132959071959078</v>
      </c>
    </row>
    <row r="76" spans="1:12" ht="12.9" x14ac:dyDescent="0.35">
      <c r="A76" t="str">
        <f t="shared" si="26"/>
        <v>Other services</v>
      </c>
      <c r="B76" s="39">
        <f t="shared" ref="B76:E76" si="35">IF(AND(C$5-B$5 &lt;&gt; 0,B33&lt;&gt;0,C33&lt;&gt;0),(EXP(LN(C33/B33)/(C$5-B$5))-1)*100,0)</f>
        <v>0.8477914787368368</v>
      </c>
      <c r="C76" s="43">
        <f t="shared" si="35"/>
        <v>-0.90392642740569906</v>
      </c>
      <c r="D76" s="39">
        <f t="shared" si="35"/>
        <v>-0.16076213844666842</v>
      </c>
      <c r="E76" s="39">
        <f t="shared" si="35"/>
        <v>7.785982142418657E-2</v>
      </c>
      <c r="F76" s="43">
        <f t="shared" si="18"/>
        <v>-1.7441336747303637E-3</v>
      </c>
      <c r="H76" s="39">
        <f t="shared" ref="H76:L76" si="36">(B33/B$25)*100</f>
        <v>8.767527030935403</v>
      </c>
      <c r="I76" s="39">
        <f t="shared" si="36"/>
        <v>8.5567307888121587</v>
      </c>
      <c r="J76" s="39">
        <f t="shared" si="36"/>
        <v>8.6215583056672394</v>
      </c>
      <c r="K76" s="39">
        <f t="shared" si="36"/>
        <v>8.2489995703796719</v>
      </c>
      <c r="L76" s="39">
        <f t="shared" si="36"/>
        <v>7.879196525992505</v>
      </c>
    </row>
    <row r="77" spans="1:12" ht="12.9" x14ac:dyDescent="0.35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ht="12.9" x14ac:dyDescent="0.35">
      <c r="A78" s="29" t="str">
        <f>A35</f>
        <v>Non-marketed services</v>
      </c>
      <c r="B78" s="43">
        <f t="shared" ref="B78:E79" si="37">IF(AND(C$5-B$5 &lt;&gt; 0,B35&lt;&gt;0,C35&lt;&gt;0),(EXP(LN(C35/B35)/(C$5-B$5))-1)*100,0)</f>
        <v>0.72511383670565976</v>
      </c>
      <c r="C78" s="43">
        <f t="shared" ref="C78:C83" si="38">IF(AND(D$5-C$5 &lt;&gt; 0,C35&lt;&gt;0,D35&lt;&gt;0),(EXP(LN(D35/C35)/(D$5-C$5))-1)*100,0)</f>
        <v>0.4172282157028695</v>
      </c>
      <c r="D78" s="43">
        <f t="shared" si="37"/>
        <v>0.74598243601133873</v>
      </c>
      <c r="E78" s="43">
        <f t="shared" si="37"/>
        <v>0.4778225875432307</v>
      </c>
      <c r="F78" s="43">
        <f t="shared" si="18"/>
        <v>0.56712980168480698</v>
      </c>
      <c r="H78" s="43">
        <f>(B35/B$40)*100</f>
        <v>24.59953478757464</v>
      </c>
      <c r="I78" s="43">
        <f>(C35/C$40)*100</f>
        <v>24.01627987626183</v>
      </c>
      <c r="J78" s="43">
        <f>(D35/D$40)*100</f>
        <v>24.401650506583845</v>
      </c>
      <c r="K78" s="43">
        <f>(E35/E$40)*100</f>
        <v>24.588434279478129</v>
      </c>
      <c r="L78" s="43">
        <f>(F35/F$40)*100</f>
        <v>24.73118956860429</v>
      </c>
    </row>
    <row r="79" spans="1:12" ht="12.9" x14ac:dyDescent="0.35">
      <c r="A79" t="str">
        <f>A36</f>
        <v>Public admin. and defence</v>
      </c>
      <c r="B79" s="39">
        <f t="shared" si="37"/>
        <v>0.30793723289141983</v>
      </c>
      <c r="C79" s="43">
        <f t="shared" si="38"/>
        <v>4.0163164621492164</v>
      </c>
      <c r="D79" s="39">
        <f t="shared" si="37"/>
        <v>0.52127477330956573</v>
      </c>
      <c r="E79" s="39">
        <f t="shared" si="37"/>
        <v>0.19617677247203424</v>
      </c>
      <c r="F79" s="43">
        <f t="shared" si="18"/>
        <v>0.30442578158225153</v>
      </c>
      <c r="H79" s="39">
        <f>(B36/B$35)*100</f>
        <v>14.905185419555597</v>
      </c>
      <c r="I79" s="39">
        <f t="shared" ref="I79:L81" si="39">(C36/C$35)*100</f>
        <v>14.659782047426233</v>
      </c>
      <c r="J79" s="39">
        <f t="shared" si="39"/>
        <v>15.185208313415385</v>
      </c>
      <c r="K79" s="39">
        <f t="shared" si="39"/>
        <v>15.016613747558132</v>
      </c>
      <c r="L79" s="39">
        <f t="shared" si="39"/>
        <v>14.600958353039617</v>
      </c>
    </row>
    <row r="80" spans="1:12" ht="12.9" x14ac:dyDescent="0.35">
      <c r="A80" t="str">
        <f>A37</f>
        <v>Education</v>
      </c>
      <c r="B80" s="39">
        <f t="shared" ref="B80:E81" si="40">IF(AND(C$5-B$5 &lt;&gt; 0,B37&lt;&gt;0,C37&lt;&gt;0),(EXP(LN(C37/B37)/(C$5-B$5))-1)*100,0)</f>
        <v>-3.4808041680745028E-2</v>
      </c>
      <c r="C80" s="43">
        <f t="shared" si="38"/>
        <v>0.31622962140254174</v>
      </c>
      <c r="D80" s="39">
        <f t="shared" si="40"/>
        <v>9.1026887480816221E-2</v>
      </c>
      <c r="E80" s="39">
        <f t="shared" si="40"/>
        <v>0.34800896989775065</v>
      </c>
      <c r="F80" s="43">
        <f t="shared" si="18"/>
        <v>0.26227504847629035</v>
      </c>
      <c r="H80" s="39">
        <f>(B37/B$35)*100</f>
        <v>35.852089963864984</v>
      </c>
      <c r="I80" s="39">
        <f t="shared" si="39"/>
        <v>34.78232646981099</v>
      </c>
      <c r="J80" s="39">
        <f t="shared" si="39"/>
        <v>34.74734277087439</v>
      </c>
      <c r="K80" s="39">
        <f t="shared" si="39"/>
        <v>33.632460564273977</v>
      </c>
      <c r="L80" s="39">
        <f t="shared" si="39"/>
        <v>33.200459192735124</v>
      </c>
    </row>
    <row r="81" spans="1:12" ht="12.9" x14ac:dyDescent="0.35">
      <c r="A81" t="str">
        <f>A38</f>
        <v>Health and social work</v>
      </c>
      <c r="B81" s="39">
        <f>IF(AND(C$5-B$5 &lt;&gt; 0,B38&lt;&gt;0,C38&lt;&gt;0),(EXP(LN(C38/B38)/(C$5-B$5))-1)*100,0)</f>
        <v>1.3910187124869688</v>
      </c>
      <c r="C81" s="43">
        <f t="shared" si="38"/>
        <v>-0.55688050873242689</v>
      </c>
      <c r="D81" s="39">
        <f t="shared" si="40"/>
        <v>1.2572897754804746</v>
      </c>
      <c r="E81" s="39">
        <f t="shared" si="40"/>
        <v>0.64246339013522835</v>
      </c>
      <c r="F81" s="43">
        <f t="shared" si="18"/>
        <v>0.84698959766382753</v>
      </c>
      <c r="H81" s="39">
        <f>(B38/B$35)*100</f>
        <v>49.24272461657943</v>
      </c>
      <c r="I81" s="39">
        <f t="shared" si="39"/>
        <v>50.557891482762763</v>
      </c>
      <c r="J81" s="39">
        <f t="shared" si="39"/>
        <v>50.067448915710209</v>
      </c>
      <c r="K81" s="39">
        <f t="shared" si="39"/>
        <v>51.350925688167905</v>
      </c>
      <c r="L81" s="39">
        <f t="shared" si="39"/>
        <v>52.19858245422526</v>
      </c>
    </row>
    <row r="82" spans="1:12" ht="12.9" x14ac:dyDescent="0.35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ht="12.9" x14ac:dyDescent="0.35">
      <c r="A83" s="23" t="str">
        <f>A40</f>
        <v>All industries</v>
      </c>
      <c r="B83" s="42">
        <f>IF(AND(C$5-B$5 &lt;&gt; 0,B40&lt;&gt;0,C40&lt;&gt;0),(EXP(LN(C40/B40)/(C$5-B$5))-1)*100,0)</f>
        <v>1.3311698180238807</v>
      </c>
      <c r="C83" s="206">
        <f t="shared" si="38"/>
        <v>-1.1686419909962442</v>
      </c>
      <c r="D83" s="42">
        <f>IF(AND(E$5-D$5 &lt;&gt; 0,D40&lt;&gt;0,E40&lt;&gt;0),(EXP(LN(E40/D40)/(E$5-D$5))-1)*100,0)</f>
        <v>0.59245370532130526</v>
      </c>
      <c r="E83" s="42">
        <f>IF(AND(F$5-E$5 &lt;&gt; 0,E40&lt;&gt;0,F40&lt;&gt;0),(EXP(LN(F40/E40)/(F$5-E$5))-1)*100,0)</f>
        <v>0.4196727942317624</v>
      </c>
      <c r="F83" s="206">
        <f t="shared" si="18"/>
        <v>0.477233431154378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3">
      <c r="A86" s="35"/>
      <c r="B86" s="27" t="s">
        <v>14</v>
      </c>
      <c r="C86" s="27"/>
    </row>
    <row r="87" spans="1:12" x14ac:dyDescent="0.3">
      <c r="A87" s="23"/>
      <c r="B87" s="36" t="str">
        <f>B5&amp;"-"&amp;D5</f>
        <v>2015-2020</v>
      </c>
      <c r="C87" s="36" t="str">
        <f>F48</f>
        <v>2020-2035</v>
      </c>
    </row>
    <row r="89" spans="1:12" ht="12.9" x14ac:dyDescent="0.35">
      <c r="A89" s="29" t="str">
        <f>A7</f>
        <v>Primary sector and utilities</v>
      </c>
      <c r="B89" s="43">
        <f>IF(AND(D$5-B$5 &lt;&gt; 0,B7&lt;&gt;0,D7&lt;&gt;0),(EXP(LN(D7/B7)/(D$5-B$5))-1)*100,0)</f>
        <v>-2.3498241753794336E-2</v>
      </c>
      <c r="C89" s="43">
        <f>IF(AND(F$5-D$5 &lt;&gt; 0,D7&lt;&gt;0,F7&lt;&gt;0),(EXP(LN(F7/D7)/(F$5-D$5))-1)*100,0)</f>
        <v>0.20432106617911394</v>
      </c>
    </row>
    <row r="90" spans="1:12" ht="12.9" x14ac:dyDescent="0.35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-1.8136034084945241</v>
      </c>
      <c r="C90" s="43">
        <f t="shared" ref="C90:C122" si="43">IF(AND(F$5-D$5 &lt;&gt; 0,D8&lt;&gt;0,F8&lt;&gt;0),(EXP(LN(F8/D8)/(F$5-D$5))-1)*100,0)</f>
        <v>0.25825290801375633</v>
      </c>
    </row>
    <row r="91" spans="1:12" ht="12.9" x14ac:dyDescent="0.35">
      <c r="A91" s="29" t="str">
        <f t="shared" si="41"/>
        <v>Mining and quarrying</v>
      </c>
      <c r="B91" s="43">
        <f t="shared" si="42"/>
        <v>-4.2157603060080984</v>
      </c>
      <c r="C91" s="43">
        <f t="shared" si="43"/>
        <v>-3.3506240374687857</v>
      </c>
    </row>
    <row r="92" spans="1:12" ht="12.9" x14ac:dyDescent="0.35">
      <c r="A92" s="29" t="str">
        <f t="shared" si="41"/>
        <v>Electricity and gas</v>
      </c>
      <c r="B92" s="43">
        <f t="shared" si="42"/>
        <v>3.7465694631868995</v>
      </c>
      <c r="C92" s="43">
        <f t="shared" si="43"/>
        <v>-0.30028462793940669</v>
      </c>
    </row>
    <row r="93" spans="1:12" ht="12.9" x14ac:dyDescent="0.35">
      <c r="A93" s="29" t="str">
        <f t="shared" si="41"/>
        <v>Water and sewerage</v>
      </c>
      <c r="B93" s="43">
        <f t="shared" si="42"/>
        <v>0.99169869949289335</v>
      </c>
      <c r="C93" s="43">
        <f t="shared" si="43"/>
        <v>0.83615818436593159</v>
      </c>
    </row>
    <row r="94" spans="1:12" ht="12.9" x14ac:dyDescent="0.35">
      <c r="A94" s="29"/>
      <c r="B94" s="43"/>
      <c r="C94" s="43"/>
    </row>
    <row r="95" spans="1:12" ht="12.9" x14ac:dyDescent="0.35">
      <c r="A95" s="29" t="str">
        <f t="shared" si="41"/>
        <v>Manufacturing</v>
      </c>
      <c r="B95" s="43">
        <f t="shared" si="42"/>
        <v>9.7804441518012375E-2</v>
      </c>
      <c r="C95" s="43">
        <f t="shared" si="43"/>
        <v>-0.79519796723452885</v>
      </c>
    </row>
    <row r="96" spans="1:12" ht="12.9" x14ac:dyDescent="0.35">
      <c r="A96" s="29" t="str">
        <f t="shared" si="41"/>
        <v>Food drink and tobacco</v>
      </c>
      <c r="B96" s="43">
        <f t="shared" si="42"/>
        <v>1.6213182094447998</v>
      </c>
      <c r="C96" s="43">
        <f t="shared" si="43"/>
        <v>-9.5303695488824225E-2</v>
      </c>
    </row>
    <row r="97" spans="1:3" ht="12.9" x14ac:dyDescent="0.35">
      <c r="A97" s="29" t="str">
        <f t="shared" si="41"/>
        <v>Engineering</v>
      </c>
      <c r="B97" s="43">
        <f t="shared" si="42"/>
        <v>-0.51864643088095352</v>
      </c>
      <c r="C97" s="43">
        <f t="shared" si="43"/>
        <v>-0.70483169273352075</v>
      </c>
    </row>
    <row r="98" spans="1:3" ht="12.9" x14ac:dyDescent="0.35">
      <c r="A98" s="29" t="str">
        <f t="shared" si="41"/>
        <v>Rest of manufacturing</v>
      </c>
      <c r="B98" s="43">
        <f t="shared" si="42"/>
        <v>-0.11961343862384455</v>
      </c>
      <c r="C98" s="43">
        <f t="shared" si="43"/>
        <v>-0.99524754169800778</v>
      </c>
    </row>
    <row r="99" spans="1:3" ht="12.9" x14ac:dyDescent="0.35">
      <c r="A99" s="29"/>
      <c r="B99" s="43"/>
      <c r="C99" s="43"/>
    </row>
    <row r="100" spans="1:3" ht="12.9" x14ac:dyDescent="0.35">
      <c r="A100" s="29" t="str">
        <f t="shared" si="41"/>
        <v>Construction</v>
      </c>
      <c r="B100" s="43">
        <f t="shared" si="42"/>
        <v>2.1234584778621501</v>
      </c>
      <c r="C100" s="43">
        <f t="shared" si="43"/>
        <v>0.794722474715015</v>
      </c>
    </row>
    <row r="101" spans="1:3" ht="12.9" x14ac:dyDescent="0.35">
      <c r="A101" s="29"/>
      <c r="B101" s="43"/>
      <c r="C101" s="43"/>
    </row>
    <row r="102" spans="1:3" ht="12.9" x14ac:dyDescent="0.35">
      <c r="A102" s="29" t="str">
        <f t="shared" si="41"/>
        <v>Trade, accomod. and transport</v>
      </c>
      <c r="B102" s="43">
        <f t="shared" si="42"/>
        <v>0.92222477881374054</v>
      </c>
      <c r="C102" s="43">
        <f t="shared" si="43"/>
        <v>0.50021003036864187</v>
      </c>
    </row>
    <row r="103" spans="1:3" ht="12.9" x14ac:dyDescent="0.35">
      <c r="A103" s="29" t="str">
        <f t="shared" si="41"/>
        <v>Wholesale and retail trade</v>
      </c>
      <c r="B103" s="43">
        <f t="shared" si="42"/>
        <v>8.2917327365517046E-2</v>
      </c>
      <c r="C103" s="43">
        <f t="shared" si="43"/>
        <v>0.10693761094249243</v>
      </c>
    </row>
    <row r="104" spans="1:3" ht="12.9" x14ac:dyDescent="0.35">
      <c r="A104" s="29" t="str">
        <f t="shared" si="41"/>
        <v>Transport and storage</v>
      </c>
      <c r="B104" s="43">
        <f t="shared" si="42"/>
        <v>2.4897454361841653</v>
      </c>
      <c r="C104" s="43">
        <f t="shared" si="43"/>
        <v>0.55958773788067351</v>
      </c>
    </row>
    <row r="105" spans="1:3" ht="12.9" x14ac:dyDescent="0.35">
      <c r="A105" s="29" t="str">
        <f t="shared" si="41"/>
        <v>Accommodation and food</v>
      </c>
      <c r="B105" s="43">
        <f t="shared" si="42"/>
        <v>1.5713701741797648</v>
      </c>
      <c r="C105" s="43">
        <f t="shared" si="43"/>
        <v>1.2174819600557552</v>
      </c>
    </row>
    <row r="106" spans="1:3" ht="12.9" x14ac:dyDescent="0.35">
      <c r="A106" s="29"/>
      <c r="B106" s="43"/>
      <c r="C106" s="43"/>
    </row>
    <row r="107" spans="1:3" ht="12.9" x14ac:dyDescent="0.35">
      <c r="A107" s="29" t="str">
        <f t="shared" si="41"/>
        <v>Business and other services</v>
      </c>
      <c r="B107" s="43">
        <f t="shared" si="42"/>
        <v>0.83299606432620799</v>
      </c>
      <c r="C107" s="43">
        <f t="shared" si="43"/>
        <v>0.60031664769235604</v>
      </c>
    </row>
    <row r="108" spans="1:3" ht="12.9" x14ac:dyDescent="0.35">
      <c r="A108" s="29" t="str">
        <f t="shared" si="41"/>
        <v>Media</v>
      </c>
      <c r="B108" s="43">
        <f t="shared" si="42"/>
        <v>0.52053197282926345</v>
      </c>
      <c r="C108" s="43">
        <f t="shared" si="43"/>
        <v>0.15606589051742059</v>
      </c>
    </row>
    <row r="109" spans="1:3" ht="12.9" x14ac:dyDescent="0.35">
      <c r="A109" s="29" t="str">
        <f t="shared" si="41"/>
        <v>Information technology</v>
      </c>
      <c r="B109" s="43">
        <f t="shared" si="42"/>
        <v>1.3563142447170939</v>
      </c>
      <c r="C109" s="43">
        <f t="shared" si="43"/>
        <v>0.99807042338080354</v>
      </c>
    </row>
    <row r="110" spans="1:3" ht="12.9" x14ac:dyDescent="0.35">
      <c r="A110" s="29" t="str">
        <f t="shared" si="41"/>
        <v>Finance and insurance</v>
      </c>
      <c r="B110" s="43">
        <f t="shared" si="42"/>
        <v>0.62634354624531152</v>
      </c>
      <c r="C110" s="43">
        <f t="shared" si="43"/>
        <v>-0.1568083387042507</v>
      </c>
    </row>
    <row r="111" spans="1:3" ht="12.9" x14ac:dyDescent="0.35">
      <c r="A111" s="29" t="str">
        <f t="shared" si="41"/>
        <v>Real estate</v>
      </c>
      <c r="B111" s="43">
        <f t="shared" si="42"/>
        <v>2.52573588939633</v>
      </c>
      <c r="C111" s="43">
        <f t="shared" si="43"/>
        <v>0.36479081286955317</v>
      </c>
    </row>
    <row r="112" spans="1:3" ht="12.9" x14ac:dyDescent="0.35">
      <c r="A112" s="29" t="str">
        <f t="shared" si="41"/>
        <v>Professional services</v>
      </c>
      <c r="B112" s="43">
        <f t="shared" si="42"/>
        <v>1.4832503936212715</v>
      </c>
      <c r="C112" s="43">
        <f t="shared" si="43"/>
        <v>0.75154407970337012</v>
      </c>
    </row>
    <row r="113" spans="1:3" ht="12.9" x14ac:dyDescent="0.35">
      <c r="A113" s="29" t="str">
        <f t="shared" si="41"/>
        <v>Support services</v>
      </c>
      <c r="B113" s="43">
        <f t="shared" si="42"/>
        <v>-0.13672576930433555</v>
      </c>
      <c r="C113" s="43">
        <f t="shared" si="43"/>
        <v>0.83342781409669886</v>
      </c>
    </row>
    <row r="114" spans="1:3" ht="12.9" x14ac:dyDescent="0.35">
      <c r="A114" s="29" t="str">
        <f t="shared" si="41"/>
        <v>Arts and entertainment</v>
      </c>
      <c r="B114" s="43">
        <f t="shared" si="42"/>
        <v>0.68578943587789265</v>
      </c>
      <c r="C114" s="43">
        <f t="shared" si="43"/>
        <v>0.68216606566100513</v>
      </c>
    </row>
    <row r="115" spans="1:3" ht="12.9" x14ac:dyDescent="0.35">
      <c r="A115" s="29" t="str">
        <f t="shared" si="41"/>
        <v>Other services</v>
      </c>
      <c r="B115" s="43">
        <f t="shared" si="42"/>
        <v>0.49498804029632915</v>
      </c>
      <c r="C115" s="43">
        <f t="shared" si="43"/>
        <v>-1.7441336747303637E-3</v>
      </c>
    </row>
    <row r="116" spans="1:3" ht="12.9" x14ac:dyDescent="0.35">
      <c r="A116" s="29"/>
      <c r="B116" s="43"/>
      <c r="C116" s="43"/>
    </row>
    <row r="117" spans="1:3" ht="12.9" x14ac:dyDescent="0.35">
      <c r="A117" s="29" t="str">
        <f t="shared" si="41"/>
        <v>Non-marketed services</v>
      </c>
      <c r="B117" s="43">
        <f t="shared" si="42"/>
        <v>0.66346128521379555</v>
      </c>
      <c r="C117" s="43">
        <f t="shared" si="43"/>
        <v>0.56712980168480698</v>
      </c>
    </row>
    <row r="118" spans="1:3" ht="12.9" x14ac:dyDescent="0.35">
      <c r="A118" s="29" t="str">
        <f t="shared" si="41"/>
        <v>Public admin. and defence</v>
      </c>
      <c r="B118" s="43">
        <f t="shared" si="42"/>
        <v>1.0388823568214356</v>
      </c>
      <c r="C118" s="43">
        <f t="shared" si="43"/>
        <v>0.30442578158225153</v>
      </c>
    </row>
    <row r="119" spans="1:3" ht="12.9" x14ac:dyDescent="0.35">
      <c r="A119" s="29" t="str">
        <f t="shared" si="41"/>
        <v>Education</v>
      </c>
      <c r="B119" s="43">
        <f t="shared" si="42"/>
        <v>3.5301081927907596E-2</v>
      </c>
      <c r="C119" s="43">
        <f t="shared" si="43"/>
        <v>0.26227504847629035</v>
      </c>
    </row>
    <row r="120" spans="1:3" ht="12.9" x14ac:dyDescent="0.35">
      <c r="A120" s="29" t="str">
        <f t="shared" si="41"/>
        <v>Health and social work</v>
      </c>
      <c r="B120" s="43">
        <f t="shared" si="42"/>
        <v>0.9984100828068998</v>
      </c>
      <c r="C120" s="43">
        <f t="shared" si="43"/>
        <v>0.84698959766382753</v>
      </c>
    </row>
    <row r="121" spans="1:3" ht="12.9" x14ac:dyDescent="0.35">
      <c r="A121" s="29"/>
      <c r="B121" s="43"/>
      <c r="C121" s="43"/>
    </row>
    <row r="122" spans="1:3" ht="12.9" x14ac:dyDescent="0.35">
      <c r="A122" s="344" t="str">
        <f t="shared" si="41"/>
        <v>All industries</v>
      </c>
      <c r="B122" s="206">
        <f t="shared" si="42"/>
        <v>0.82619957207423766</v>
      </c>
      <c r="C122" s="206">
        <f t="shared" si="43"/>
        <v>0.477233431154378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5234375" defaultRowHeight="12.45" x14ac:dyDescent="0.3"/>
  <cols>
    <col min="1" max="1" width="22.15234375" style="282" customWidth="1"/>
    <col min="2" max="2" width="9.15234375" style="283"/>
    <col min="3" max="3" width="9.3046875" style="282" customWidth="1"/>
    <col min="4" max="4" width="9.15234375" style="283"/>
    <col min="5" max="5" width="9.3046875" style="282" customWidth="1"/>
    <col min="6" max="6" width="9.15234375" style="283"/>
    <col min="7" max="7" width="9.3046875" style="282" customWidth="1"/>
    <col min="8" max="8" width="9.15234375" style="283"/>
    <col min="9" max="9" width="9.3046875" style="282" customWidth="1"/>
    <col min="10" max="10" width="5.53515625" style="282" customWidth="1"/>
    <col min="11" max="14" width="9.3046875" style="283" customWidth="1"/>
    <col min="15" max="16384" width="9.15234375" style="282"/>
  </cols>
  <sheetData>
    <row r="1" spans="1:17" ht="15.45" x14ac:dyDescent="0.4">
      <c r="A1" s="18" t="str">
        <f>CONCATENATE("Industry Table 5  Employment status by Industry (SIC 2007) and Gender, ",A$8,"-",A$18,", ",Info!B5)</f>
        <v>Industry Table 5  Employment status by Industry (SIC 2007) and Gender, 2020-2035, England</v>
      </c>
    </row>
    <row r="2" spans="1:17" x14ac:dyDescent="0.3">
      <c r="A2" s="1" t="s">
        <v>530</v>
      </c>
    </row>
    <row r="5" spans="1:17" x14ac:dyDescent="0.3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3">
      <c r="N6" s="287" t="s">
        <v>377</v>
      </c>
    </row>
    <row r="7" spans="1:17" x14ac:dyDescent="0.3">
      <c r="A7" s="296" t="s">
        <v>378</v>
      </c>
      <c r="B7" s="371" t="s">
        <v>376</v>
      </c>
      <c r="C7" s="371"/>
      <c r="D7" s="371" t="s">
        <v>375</v>
      </c>
      <c r="E7" s="371"/>
      <c r="F7" s="371" t="s">
        <v>374</v>
      </c>
      <c r="G7" s="371"/>
      <c r="H7" s="371" t="s">
        <v>32</v>
      </c>
      <c r="I7" s="371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3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3">
      <c r="A9" s="282" t="s">
        <v>355</v>
      </c>
      <c r="B9" s="249">
        <f>SUM(B30,B51,B72,B93,B114,B135,B156,B177,B198,B219,B240,B261,B282,B303,B324,B345,B366,B387,B408,B429,B450,B471)</f>
        <v>10674.974999994531</v>
      </c>
      <c r="C9" s="299" t="str">
        <f>CONCATENATE("(",ROUND((B9/$H11)*100,1),")")</f>
        <v>(35.8)</v>
      </c>
      <c r="D9" s="249">
        <f>SUM(D30,D51,D72,D93,D114,D135,D156,D177,D198,D219,D240,D261,D282,D303,D324,D345,D366,D387,D408,D429,D450,D471)</f>
        <v>2506.5630000017895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2297.9780000038149</v>
      </c>
      <c r="G9" s="299" t="str">
        <f>CONCATENATE("(",ROUND((F9/$H11)*100,1),")")</f>
        <v>(7.7)</v>
      </c>
      <c r="H9" s="249">
        <f>SUM(H30,H51,H72,H93,H114,H135,H156,H177,H198,H219,H240,H261,H282,H303,H324,H345,H366,H387,H408,H429,H450,H471)</f>
        <v>15479.516000000134</v>
      </c>
      <c r="I9" s="299" t="str">
        <f>CONCATENATE("(",ROUND((H9/$H11)*100,1),")")</f>
        <v>(51.8)</v>
      </c>
      <c r="K9" s="249">
        <f>B14-B9</f>
        <v>242.13100000409031</v>
      </c>
      <c r="L9" s="249">
        <f>D14-D9</f>
        <v>94.314999997980976</v>
      </c>
      <c r="M9" s="249">
        <f>F14-F9</f>
        <v>94.225999999393025</v>
      </c>
      <c r="N9" s="249">
        <f>SUM(K9:M9)</f>
        <v>430.67200000146431</v>
      </c>
      <c r="O9" s="298"/>
      <c r="P9" s="298"/>
      <c r="Q9" s="298"/>
    </row>
    <row r="10" spans="1:17" x14ac:dyDescent="0.3">
      <c r="A10" s="282" t="s">
        <v>356</v>
      </c>
      <c r="B10" s="249">
        <f t="shared" ref="B10:B21" si="0">SUM(B31,B52,B73,B94,B115,B136,B157,B178,B199,B220,B241,B262,B283,B304,B325,B346,B367,B388,B409,B430,B451,B472)</f>
        <v>6988.2549999924313</v>
      </c>
      <c r="C10" s="299" t="str">
        <f>CONCATENATE("(",ROUND((B10/$H11)*100,1),")")</f>
        <v>(23.4)</v>
      </c>
      <c r="D10" s="249">
        <f t="shared" ref="D10" si="1">SUM(D31,D52,D73,D94,D115,D136,D157,D178,D199,D220,D241,D262,D283,D304,D325,D346,D367,D388,D409,D430,D451,D472)</f>
        <v>5927.1820000070575</v>
      </c>
      <c r="E10" s="299" t="str">
        <f>CONCATENATE("(",ROUND((D10/$H11)*100,1),")")</f>
        <v>(19.9)</v>
      </c>
      <c r="F10" s="249">
        <f t="shared" ref="F10" si="2">SUM(F31,F52,F73,F94,F115,F136,F157,F178,F199,F220,F241,F262,F283,F304,F325,F346,F367,F388,F409,F430,F451,F472)</f>
        <v>1464.7279999954039</v>
      </c>
      <c r="G10" s="299" t="str">
        <f>CONCATENATE("(",ROUND((F10/$H11)*100,1),")")</f>
        <v>(4.9)</v>
      </c>
      <c r="H10" s="249">
        <f t="shared" ref="H10" si="3">SUM(H31,H52,H73,H94,H115,H136,H157,H178,H199,H220,H241,H262,H283,H304,H325,H346,H367,H388,H409,H430,H451,H472)</f>
        <v>14380.164999994891</v>
      </c>
      <c r="I10" s="299" t="str">
        <f>CONCATENATE("(",ROUND((H10/$H11)*100,1),")")</f>
        <v>(48.2)</v>
      </c>
      <c r="K10" s="249">
        <f t="shared" ref="K10:K11" si="4">B15-B10</f>
        <v>332.69300001738884</v>
      </c>
      <c r="L10" s="249">
        <f t="shared" ref="L10:L11" si="5">D15-D10</f>
        <v>79.35999999449632</v>
      </c>
      <c r="M10" s="249">
        <f t="shared" ref="M10:M11" si="6">F15-F10</f>
        <v>52.342000001644692</v>
      </c>
      <c r="N10" s="249">
        <f t="shared" ref="N10:N11" si="7">SUM(K10:M10)</f>
        <v>464.39500001352985</v>
      </c>
      <c r="O10" s="298"/>
      <c r="P10" s="298"/>
      <c r="Q10" s="298"/>
    </row>
    <row r="11" spans="1:17" x14ac:dyDescent="0.3">
      <c r="A11" s="282" t="s">
        <v>354</v>
      </c>
      <c r="B11" s="249">
        <f t="shared" si="0"/>
        <v>17663.229999986954</v>
      </c>
      <c r="C11" s="299" t="str">
        <f>CONCATENATE("(",ROUND((B11/$H11)*100,1),")")</f>
        <v>(59.2)</v>
      </c>
      <c r="D11" s="249">
        <f t="shared" ref="D11" si="8">SUM(D32,D53,D74,D95,D116,D137,D158,D179,D200,D221,D242,D263,D284,D305,D326,D347,D368,D389,D410,D431,D452,D473)</f>
        <v>8433.7450000088465</v>
      </c>
      <c r="E11" s="299" t="str">
        <f>CONCATENATE("(",ROUND((D11/$H11)*100,1),")")</f>
        <v>(28.2)</v>
      </c>
      <c r="F11" s="249">
        <f t="shared" ref="F11" si="9">SUM(F32,F53,F74,F95,F116,F137,F158,F179,F200,F221,F242,F263,F284,F305,F326,F347,F368,F389,F410,F431,F452,F473)</f>
        <v>3762.7059999992184</v>
      </c>
      <c r="G11" s="299" t="str">
        <f>CONCATENATE("(",ROUND((F11/$H11)*100,1),")")</f>
        <v>(12.6)</v>
      </c>
      <c r="H11" s="249">
        <f t="shared" ref="H11" si="10">SUM(H32,H53,H74,H95,H116,H137,H158,H179,H200,H221,H242,H263,H284,H305,H326,H347,H368,H389,H410,H431,H452,H473)</f>
        <v>29859.680999995027</v>
      </c>
      <c r="I11" s="299" t="str">
        <f>CONCATENATE("(",ROUND((H11/$H11)*100,1),")")</f>
        <v>(100)</v>
      </c>
      <c r="K11" s="249">
        <f t="shared" si="4"/>
        <v>574.82400002148643</v>
      </c>
      <c r="L11" s="249">
        <f t="shared" si="5"/>
        <v>173.67499999247775</v>
      </c>
      <c r="M11" s="249">
        <f t="shared" si="6"/>
        <v>146.5680000010384</v>
      </c>
      <c r="N11" s="249">
        <f t="shared" si="7"/>
        <v>895.06700001500258</v>
      </c>
      <c r="O11" s="298"/>
      <c r="P11" s="298"/>
      <c r="Q11" s="298"/>
    </row>
    <row r="12" spans="1:17" x14ac:dyDescent="0.3">
      <c r="B12" s="249"/>
      <c r="C12" s="284"/>
      <c r="D12" s="249"/>
      <c r="E12" s="284"/>
      <c r="F12" s="249"/>
      <c r="G12" s="284"/>
      <c r="H12" s="249"/>
      <c r="I12" s="284"/>
    </row>
    <row r="13" spans="1:17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3">
      <c r="A14" s="282" t="s">
        <v>355</v>
      </c>
      <c r="B14" s="249">
        <f>SUM(B35,B56,B77,B98,B119,B140,B161,B182,B203,B224,B245,B266,B287,B308,B329,B350,B371,B392,B413,B434,B455,B476)</f>
        <v>10917.105999998621</v>
      </c>
      <c r="C14" s="299" t="str">
        <f>CONCATENATE("(",ROUND((B14/$H16)*100,1),")")</f>
        <v>(35.5)</v>
      </c>
      <c r="D14" s="249">
        <f t="shared" ref="D14" si="11">SUM(D35,D56,D77,D98,D119,D140,D161,D182,D203,D224,D245,D266,D287,D308,D329,D350,D371,D392,D413,D434,D455,D476)</f>
        <v>2600.8779999997705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2392.204000003208</v>
      </c>
      <c r="G14" s="299" t="str">
        <f>CONCATENATE("(",ROUND((F14/$H16)*100,1),")")</f>
        <v>(7.8)</v>
      </c>
      <c r="H14" s="249">
        <f t="shared" ref="H14" si="13">SUM(H35,H56,H77,H98,H119,H140,H161,H182,H203,H224,H245,H266,H287,H308,H329,H350,H371,H392,H413,H434,H455,H476)</f>
        <v>15910.188000001604</v>
      </c>
      <c r="I14" s="299" t="str">
        <f>CONCATENATE("(",ROUND((H14/$H16)*100,1),")")</f>
        <v>(51.7)</v>
      </c>
      <c r="K14" s="249">
        <f>B19-B14</f>
        <v>237.01699999740958</v>
      </c>
      <c r="L14" s="249">
        <f>D19-D14</f>
        <v>185.60600000161412</v>
      </c>
      <c r="M14" s="249">
        <f>F19-F14</f>
        <v>150.69599999951879</v>
      </c>
      <c r="N14" s="249">
        <f>SUM(K14:M14)</f>
        <v>573.31899999854249</v>
      </c>
    </row>
    <row r="15" spans="1:17" x14ac:dyDescent="0.3">
      <c r="A15" s="282" t="s">
        <v>356</v>
      </c>
      <c r="B15" s="249">
        <f t="shared" si="0"/>
        <v>7320.9480000098201</v>
      </c>
      <c r="C15" s="299" t="str">
        <f>CONCATENATE("(",ROUND((B15/$H16)*100,1),")")</f>
        <v>(23.8)</v>
      </c>
      <c r="D15" s="249">
        <f t="shared" ref="D15" si="14">SUM(D36,D57,D78,D99,D120,D141,D162,D183,D204,D225,D246,D267,D288,D309,D330,D351,D372,D393,D414,D435,D456,D477)</f>
        <v>6006.5420000015538</v>
      </c>
      <c r="E15" s="299" t="str">
        <f>CONCATENATE("(",ROUND((D15/$H16)*100,1),")")</f>
        <v>(19.5)</v>
      </c>
      <c r="F15" s="249">
        <f t="shared" ref="F15" si="15">SUM(F36,F57,F78,F99,F120,F141,F162,F183,F204,F225,F246,F267,F288,F309,F330,F351,F372,F393,F414,F435,F456,F477)</f>
        <v>1517.0699999970486</v>
      </c>
      <c r="G15" s="299" t="str">
        <f>CONCATENATE("(",ROUND((F15/$H16)*100,1),")")</f>
        <v>(4.9)</v>
      </c>
      <c r="H15" s="249">
        <f t="shared" ref="H15" si="16">SUM(H36,H57,H78,H99,H120,H141,H162,H183,H204,H225,H246,H267,H288,H309,H330,H351,H372,H393,H414,H435,H456,H477)</f>
        <v>14844.560000008423</v>
      </c>
      <c r="I15" s="299" t="str">
        <f>CONCATENATE("(",ROUND((H15/$H16)*100,1),")")</f>
        <v>(48.3)</v>
      </c>
      <c r="K15" s="249">
        <f t="shared" ref="K15:K16" si="17">B20-B15</f>
        <v>539.99200000357905</v>
      </c>
      <c r="L15" s="249">
        <f t="shared" ref="L15:L16" si="18">D20-D15</f>
        <v>91.862999977241998</v>
      </c>
      <c r="M15" s="249">
        <f t="shared" ref="M15:M16" si="19">F20-F15</f>
        <v>110.16900000951978</v>
      </c>
      <c r="N15" s="249">
        <f t="shared" ref="N15:N16" si="20">SUM(K15:M15)</f>
        <v>742.02399999034083</v>
      </c>
    </row>
    <row r="16" spans="1:17" x14ac:dyDescent="0.3">
      <c r="A16" s="282" t="s">
        <v>354</v>
      </c>
      <c r="B16" s="249">
        <f t="shared" si="0"/>
        <v>18238.05400000844</v>
      </c>
      <c r="C16" s="299" t="str">
        <f>CONCATENATE("(",ROUND((B16/$H16)*100,1),")")</f>
        <v>(59.3)</v>
      </c>
      <c r="D16" s="249">
        <f t="shared" ref="D16" si="21">SUM(D37,D58,D79,D100,D121,D142,D163,D184,D205,D226,D247,D268,D289,D310,D331,D352,D373,D394,D415,D436,D457,D478)</f>
        <v>8607.4200000013243</v>
      </c>
      <c r="E16" s="299" t="str">
        <f>CONCATENATE("(",ROUND((D16/$H16)*100,1),")")</f>
        <v>(28)</v>
      </c>
      <c r="F16" s="249">
        <f t="shared" ref="F16" si="22">SUM(F37,F58,F79,F100,F121,F142,F163,F184,F205,F226,F247,F268,F289,F310,F331,F352,F373,F394,F415,F436,F457,F478)</f>
        <v>3909.2740000002568</v>
      </c>
      <c r="G16" s="299" t="str">
        <f>CONCATENATE("(",ROUND((F16/$H16)*100,1),")")</f>
        <v>(12.7)</v>
      </c>
      <c r="H16" s="249">
        <f t="shared" ref="H16" si="23">SUM(H37,H58,H79,H100,H121,H142,H163,H184,H205,H226,H247,H268,H289,H310,H331,H352,H373,H394,H415,H436,H457,H478)</f>
        <v>30754.748000010022</v>
      </c>
      <c r="I16" s="299" t="str">
        <f>CONCATENATE("(",ROUND((H16/$H16)*100,1),")")</f>
        <v>(100)</v>
      </c>
      <c r="K16" s="249">
        <f t="shared" si="17"/>
        <v>777.00900000099136</v>
      </c>
      <c r="L16" s="249">
        <f t="shared" si="18"/>
        <v>277.46899997885703</v>
      </c>
      <c r="M16" s="249">
        <f t="shared" si="19"/>
        <v>260.86500000903925</v>
      </c>
      <c r="N16" s="249">
        <f t="shared" si="20"/>
        <v>1315.3429999888876</v>
      </c>
    </row>
    <row r="17" spans="1:14" x14ac:dyDescent="0.3">
      <c r="B17" s="249"/>
      <c r="C17" s="284"/>
      <c r="D17" s="249"/>
      <c r="E17" s="284"/>
      <c r="F17" s="249"/>
      <c r="G17" s="284"/>
      <c r="H17" s="249"/>
      <c r="I17" s="284"/>
    </row>
    <row r="18" spans="1:14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3">
      <c r="A19" s="282" t="s">
        <v>355</v>
      </c>
      <c r="B19" s="249">
        <f t="shared" si="0"/>
        <v>11154.122999996031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2786.4840000013846</v>
      </c>
      <c r="E19" s="299" t="str">
        <f>CONCATENATE("(",ROUND((D19/$H21)*100,1),")")</f>
        <v>(8.7)</v>
      </c>
      <c r="F19" s="249">
        <f t="shared" ref="F19" si="25">SUM(F40,F61,F82,F103,F124,F145,F166,F187,F208,F229,F250,F271,F292,F313,F334,F355,F376,F397,F418,F439,F460,F481)</f>
        <v>2542.9000000027268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16483.50700000014</v>
      </c>
      <c r="I19" s="299" t="str">
        <f>CONCATENATE("(",ROUND((H19/$H21)*100,1),")")</f>
        <v>(51.4)</v>
      </c>
      <c r="K19" s="249">
        <f>B19-B9</f>
        <v>479.1480000014999</v>
      </c>
      <c r="L19" s="249">
        <f>D19-D9</f>
        <v>279.9209999995951</v>
      </c>
      <c r="M19" s="249">
        <f>F19-F9</f>
        <v>244.92199999891182</v>
      </c>
      <c r="N19" s="249">
        <f>SUM(K19:M19)</f>
        <v>1003.9910000000068</v>
      </c>
    </row>
    <row r="20" spans="1:14" x14ac:dyDescent="0.3">
      <c r="A20" s="282" t="s">
        <v>356</v>
      </c>
      <c r="B20" s="249">
        <f t="shared" si="0"/>
        <v>7860.9400000133992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6098.4049999787958</v>
      </c>
      <c r="E20" s="299" t="str">
        <f>CONCATENATE("(",ROUND((D20/$H21)*100,1),")")</f>
        <v>(19)</v>
      </c>
      <c r="F20" s="249">
        <f t="shared" ref="F20" si="28">SUM(F41,F62,F83,F104,F125,F146,F167,F188,F209,F230,F251,F272,F293,F314,F335,F356,F377,F398,F419,F440,F461,F482)</f>
        <v>1627.2390000065684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15586.583999998764</v>
      </c>
      <c r="I20" s="299" t="str">
        <f>CONCATENATE("(",ROUND((H20/$H21)*100,1),")")</f>
        <v>(48.6)</v>
      </c>
      <c r="K20" s="249">
        <f t="shared" ref="K20:K21" si="30">B20-B10</f>
        <v>872.68500002096789</v>
      </c>
      <c r="L20" s="249">
        <f t="shared" ref="L20:L21" si="31">D20-D10</f>
        <v>171.22299997173832</v>
      </c>
      <c r="M20" s="249">
        <f t="shared" ref="M20:M21" si="32">F20-F10</f>
        <v>162.51100001116447</v>
      </c>
      <c r="N20" s="249">
        <f t="shared" ref="N20:N21" si="33">SUM(K20:M20)</f>
        <v>1206.4190000038707</v>
      </c>
    </row>
    <row r="21" spans="1:14" x14ac:dyDescent="0.3">
      <c r="A21" s="282" t="s">
        <v>354</v>
      </c>
      <c r="B21" s="249">
        <f t="shared" si="0"/>
        <v>19015.063000009432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8884.8889999801813</v>
      </c>
      <c r="E21" s="299" t="str">
        <f>CONCATENATE("(",ROUND((D21/$H21)*100,1),")")</f>
        <v>(27.7)</v>
      </c>
      <c r="F21" s="249">
        <f>SUM(F42,F63,F84,F105,F126,F147,F168,F189,F210,F231,F252,F273,F294,F315,F336,F357,F378,F399,F420,F441,F462,F483)</f>
        <v>4170.1390000092961</v>
      </c>
      <c r="G21" s="299" t="str">
        <f>CONCATENATE("(",ROUND((F21/$H21)*100,1),")")</f>
        <v>(13)</v>
      </c>
      <c r="H21" s="249">
        <f t="shared" ref="H21" si="35">SUM(H42,H63,H84,H105,H126,H147,H168,H189,H210,H231,H252,H273,H294,H315,H336,H357,H378,H399,H420,H441,H462,H483)</f>
        <v>32070.090999998913</v>
      </c>
      <c r="I21" s="299" t="str">
        <f>CONCATENATE("(",ROUND((H21/$H21)*100,1),")")</f>
        <v>(100)</v>
      </c>
      <c r="K21" s="249">
        <f t="shared" si="30"/>
        <v>1351.8330000224778</v>
      </c>
      <c r="L21" s="249">
        <f t="shared" si="31"/>
        <v>451.14399997133478</v>
      </c>
      <c r="M21" s="249">
        <f t="shared" si="32"/>
        <v>407.43300001007765</v>
      </c>
      <c r="N21" s="249">
        <f t="shared" si="33"/>
        <v>2210.4100000038902</v>
      </c>
    </row>
    <row r="22" spans="1:14" x14ac:dyDescent="0.3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3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3">
      <c r="N27" s="287" t="s">
        <v>377</v>
      </c>
    </row>
    <row r="28" spans="1:14" x14ac:dyDescent="0.3">
      <c r="A28" s="296" t="s">
        <v>378</v>
      </c>
      <c r="B28" s="371" t="s">
        <v>376</v>
      </c>
      <c r="C28" s="371"/>
      <c r="D28" s="371" t="s">
        <v>375</v>
      </c>
      <c r="E28" s="371"/>
      <c r="F28" s="371" t="s">
        <v>374</v>
      </c>
      <c r="G28" s="371"/>
      <c r="H28" s="371" t="s">
        <v>32</v>
      </c>
      <c r="I28" s="371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3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3">
      <c r="A30" s="282" t="s">
        <v>355</v>
      </c>
      <c r="B30" s="302">
        <f>'Ind T6'!L10</f>
        <v>90.717000000278972</v>
      </c>
      <c r="C30" s="299" t="str">
        <f>CONCATENATE("(",ROUND((B30/$H32)*100,1),")")</f>
        <v>(37.8)</v>
      </c>
      <c r="D30" s="302">
        <f>'Ind T6'!M10</f>
        <v>9.2500000000291429</v>
      </c>
      <c r="E30" s="299" t="str">
        <f>CONCATENATE("(",ROUND((D30/$H32)*100,1),")")</f>
        <v>(3.9)</v>
      </c>
      <c r="F30" s="302">
        <f>'Ind T6'!N10</f>
        <v>65.167999998821486</v>
      </c>
      <c r="G30" s="299" t="str">
        <f>CONCATENATE("(",ROUND((F30/$H32)*100,1),")")</f>
        <v>(27.2)</v>
      </c>
      <c r="H30" s="302">
        <f>SUM(B30,D30,F30)</f>
        <v>165.1349999991296</v>
      </c>
      <c r="I30" s="299" t="str">
        <f>CONCATENATE("(",ROUND((H30/$H32)*100,1),")")</f>
        <v>(68.9)</v>
      </c>
      <c r="K30" s="302">
        <f>B35-B30</f>
        <v>5.1920000002859865</v>
      </c>
      <c r="L30" s="302">
        <f>D35-D30</f>
        <v>0.28899999997364034</v>
      </c>
      <c r="M30" s="302">
        <f>F35-F30</f>
        <v>-5.4000001728596203E-2</v>
      </c>
      <c r="N30" s="302">
        <f>SUM(K30:M30)</f>
        <v>5.4269999985310307</v>
      </c>
    </row>
    <row r="31" spans="1:14" x14ac:dyDescent="0.3">
      <c r="A31" s="282" t="s">
        <v>356</v>
      </c>
      <c r="B31" s="302">
        <f>'Ind T6'!L9</f>
        <v>31.874999999840174</v>
      </c>
      <c r="C31" s="299" t="str">
        <f>CONCATENATE("(",ROUND((B31/$H32)*100,1),")")</f>
        <v>(13.3)</v>
      </c>
      <c r="D31" s="302">
        <f>'Ind T6'!M9</f>
        <v>17.175000000152529</v>
      </c>
      <c r="E31" s="299" t="str">
        <f>CONCATENATE("(",ROUND((D31/$H32)*100,1),")")</f>
        <v>(7.2)</v>
      </c>
      <c r="F31" s="302">
        <f>'Ind T6'!N9</f>
        <v>25.508999999632159</v>
      </c>
      <c r="G31" s="299" t="str">
        <f>CONCATENATE("(",ROUND((F31/$H32)*100,1),")")</f>
        <v>(10.6)</v>
      </c>
      <c r="H31" s="302">
        <f t="shared" ref="H31" si="36">SUM(B31,D31,F31)</f>
        <v>74.558999999624859</v>
      </c>
      <c r="I31" s="299" t="str">
        <f>CONCATENATE("(",ROUND((H31/$H32)*100,1),")")</f>
        <v>(31.1)</v>
      </c>
      <c r="K31" s="302">
        <f t="shared" ref="K31:K32" si="37">B36-B31</f>
        <v>0.70400000083610692</v>
      </c>
      <c r="L31" s="302">
        <f t="shared" ref="L31:L32" si="38">D36-D31</f>
        <v>-3.49999998417303E-2</v>
      </c>
      <c r="M31" s="302">
        <f t="shared" ref="M31:M32" si="39">F36-F31</f>
        <v>1.1080000004969861</v>
      </c>
      <c r="N31" s="302">
        <f t="shared" ref="N31:N32" si="40">SUM(K31:M31)</f>
        <v>1.7770000014913627</v>
      </c>
    </row>
    <row r="32" spans="1:14" x14ac:dyDescent="0.3">
      <c r="A32" s="282" t="s">
        <v>354</v>
      </c>
      <c r="B32" s="302">
        <f>SUM(B30:B31)</f>
        <v>122.59200000011914</v>
      </c>
      <c r="C32" s="299" t="str">
        <f>CONCATENATE("(",ROUND((B32/$H32)*100,1),")")</f>
        <v>(51.1)</v>
      </c>
      <c r="D32" s="302">
        <f>SUM(D30:D31)</f>
        <v>26.425000000181672</v>
      </c>
      <c r="E32" s="299" t="str">
        <f>CONCATENATE("(",ROUND((D32/$H32)*100,1),")")</f>
        <v>(11)</v>
      </c>
      <c r="F32" s="302">
        <f>SUM(F30:F31)</f>
        <v>90.676999998453653</v>
      </c>
      <c r="G32" s="299" t="str">
        <f>CONCATENATE("(",ROUND((F32/$H32)*100,1),")")</f>
        <v>(37.8)</v>
      </c>
      <c r="H32" s="302">
        <f>SUM(H30:H31)</f>
        <v>239.69399999875446</v>
      </c>
      <c r="I32" s="299" t="str">
        <f>CONCATENATE("(",ROUND((H32/$H32)*100,1),")")</f>
        <v>(100)</v>
      </c>
      <c r="K32" s="302">
        <f t="shared" si="37"/>
        <v>5.8960000011220899</v>
      </c>
      <c r="L32" s="302">
        <f t="shared" si="38"/>
        <v>0.25400000013191004</v>
      </c>
      <c r="M32" s="302">
        <f t="shared" si="39"/>
        <v>1.0539999987683757</v>
      </c>
      <c r="N32" s="302">
        <f t="shared" si="40"/>
        <v>7.2040000000223756</v>
      </c>
    </row>
    <row r="33" spans="1:14" x14ac:dyDescent="0.3">
      <c r="B33" s="302"/>
      <c r="C33" s="284"/>
      <c r="D33" s="302"/>
      <c r="E33" s="284"/>
      <c r="F33" s="302"/>
      <c r="G33" s="284"/>
      <c r="H33" s="302"/>
      <c r="I33" s="284"/>
    </row>
    <row r="34" spans="1:14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3">
      <c r="A35" s="282" t="s">
        <v>355</v>
      </c>
      <c r="B35" s="302">
        <f>'Ind T6'!Q10</f>
        <v>95.909000000564959</v>
      </c>
      <c r="C35" s="299" t="str">
        <f>CONCATENATE("(",ROUND((B35/$H37)*100,1),")")</f>
        <v>(38.8)</v>
      </c>
      <c r="D35" s="302">
        <f>'Ind T6'!R10</f>
        <v>9.5390000000027833</v>
      </c>
      <c r="E35" s="299" t="str">
        <f>CONCATENATE("(",ROUND((D35/$H37)*100,1),")")</f>
        <v>(3.9)</v>
      </c>
      <c r="F35" s="302">
        <f>'Ind T6'!S10</f>
        <v>65.11399999709289</v>
      </c>
      <c r="G35" s="299" t="str">
        <f>CONCATENATE("(",ROUND((F35/$H37)*100,1),")")</f>
        <v>(26.4)</v>
      </c>
      <c r="H35" s="302">
        <f>SUM(B35,D35,F35)</f>
        <v>170.56199999766062</v>
      </c>
      <c r="I35" s="299" t="str">
        <f>CONCATENATE("(",ROUND((H35/$H37)*100,1),")")</f>
        <v>(69.1)</v>
      </c>
      <c r="K35" s="302">
        <f>B40-B35</f>
        <v>7.0320000000014176</v>
      </c>
      <c r="L35" s="302">
        <f>D40-D35</f>
        <v>5.7000000001670159E-2</v>
      </c>
      <c r="M35" s="302">
        <f>F40-F35</f>
        <v>-4.1169999992679394</v>
      </c>
      <c r="N35" s="302">
        <f>SUM(K35:M35)</f>
        <v>2.9720000007351484</v>
      </c>
    </row>
    <row r="36" spans="1:14" x14ac:dyDescent="0.3">
      <c r="A36" s="282" t="s">
        <v>356</v>
      </c>
      <c r="B36" s="302">
        <f>'Ind T6'!Q9</f>
        <v>32.579000000676281</v>
      </c>
      <c r="C36" s="299" t="str">
        <f>CONCATENATE("(",ROUND((B36/$H37)*100,1),")")</f>
        <v>(13.2)</v>
      </c>
      <c r="D36" s="302">
        <f>'Ind T6'!R9</f>
        <v>17.140000000310799</v>
      </c>
      <c r="E36" s="299" t="str">
        <f>CONCATENATE("(",ROUND((D36/$H37)*100,1),")")</f>
        <v>(6.9)</v>
      </c>
      <c r="F36" s="302">
        <f>'Ind T6'!S9</f>
        <v>26.617000000129146</v>
      </c>
      <c r="G36" s="299" t="str">
        <f>CONCATENATE("(",ROUND((F36/$H37)*100,1),")")</f>
        <v>(10.8)</v>
      </c>
      <c r="H36" s="302">
        <f t="shared" ref="H36" si="41">SUM(B36,D36,F36)</f>
        <v>76.336000001116219</v>
      </c>
      <c r="I36" s="299" t="str">
        <f>CONCATENATE("(",ROUND((H36/$H37)*100,1),")")</f>
        <v>(30.9)</v>
      </c>
      <c r="K36" s="302">
        <f t="shared" ref="K36:K37" si="42">B41-B36</f>
        <v>-0.37300000064189476</v>
      </c>
      <c r="L36" s="302">
        <f t="shared" ref="L36:L37" si="43">D41-D36</f>
        <v>-1.2860000003897873</v>
      </c>
      <c r="M36" s="302">
        <f t="shared" ref="M36:M37" si="44">F41-F36</f>
        <v>0.93799999961029812</v>
      </c>
      <c r="N36" s="302">
        <f t="shared" ref="N36:N37" si="45">SUM(K36:M36)</f>
        <v>-0.72100000142138398</v>
      </c>
    </row>
    <row r="37" spans="1:14" x14ac:dyDescent="0.3">
      <c r="A37" s="282" t="s">
        <v>354</v>
      </c>
      <c r="B37" s="302">
        <f>SUM(B35:B36)</f>
        <v>128.48800000124123</v>
      </c>
      <c r="C37" s="299" t="str">
        <f>CONCATENATE("(",ROUND((B37/$H37)*100,1),")")</f>
        <v>(52)</v>
      </c>
      <c r="D37" s="302">
        <f>SUM(D35:D36)</f>
        <v>26.679000000313582</v>
      </c>
      <c r="E37" s="299" t="str">
        <f>CONCATENATE("(",ROUND((D37/$H37)*100,1),")")</f>
        <v>(10.8)</v>
      </c>
      <c r="F37" s="302">
        <f>SUM(F35:F36)</f>
        <v>91.730999997222028</v>
      </c>
      <c r="G37" s="299" t="str">
        <f>CONCATENATE("(",ROUND((F37/$H37)*100,1),")")</f>
        <v>(37.2)</v>
      </c>
      <c r="H37" s="302">
        <f>SUM(H35:H36)</f>
        <v>246.89799999877684</v>
      </c>
      <c r="I37" s="299" t="str">
        <f>CONCATENATE("(",ROUND((H37/$H37)*100,1),")")</f>
        <v>(100)</v>
      </c>
      <c r="K37" s="302">
        <f t="shared" si="42"/>
        <v>6.658999999359537</v>
      </c>
      <c r="L37" s="302">
        <f t="shared" si="43"/>
        <v>-1.2290000003881154</v>
      </c>
      <c r="M37" s="302">
        <f t="shared" si="44"/>
        <v>-3.1789999996576341</v>
      </c>
      <c r="N37" s="302">
        <f t="shared" si="45"/>
        <v>2.2509999993137875</v>
      </c>
    </row>
    <row r="38" spans="1:14" x14ac:dyDescent="0.3">
      <c r="B38" s="302"/>
      <c r="C38" s="284"/>
      <c r="D38" s="302"/>
      <c r="E38" s="284"/>
      <c r="F38" s="302"/>
      <c r="G38" s="284"/>
      <c r="H38" s="302"/>
      <c r="I38" s="284"/>
    </row>
    <row r="39" spans="1:14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3">
      <c r="A40" s="282" t="s">
        <v>355</v>
      </c>
      <c r="B40" s="302">
        <f>'Ind T6'!V10</f>
        <v>102.94100000056638</v>
      </c>
      <c r="C40" s="299" t="str">
        <f>CONCATENATE("(",ROUND((B40/$H42)*100,1),")")</f>
        <v>(41.3)</v>
      </c>
      <c r="D40" s="302">
        <f>'Ind T6'!W10</f>
        <v>9.5960000000044534</v>
      </c>
      <c r="E40" s="299" t="str">
        <f>CONCATENATE("(",ROUND((D40/$H42)*100,1),")")</f>
        <v>(3.9)</v>
      </c>
      <c r="F40" s="302">
        <f>'Ind T6'!X10</f>
        <v>60.99699999782495</v>
      </c>
      <c r="G40" s="299" t="str">
        <f>CONCATENATE("(",ROUND((F40/$H42)*100,1),")")</f>
        <v>(24.5)</v>
      </c>
      <c r="H40" s="302">
        <f>SUM(B40,D40,F40)</f>
        <v>173.53399999839579</v>
      </c>
      <c r="I40" s="299" t="str">
        <f>CONCATENATE("(",ROUND((H40/$H42)*100,1),")")</f>
        <v>(69.7)</v>
      </c>
      <c r="K40" s="302">
        <f>B40-B30</f>
        <v>12.224000000287404</v>
      </c>
      <c r="L40" s="302">
        <f>D40-D30</f>
        <v>0.3459999999753105</v>
      </c>
      <c r="M40" s="302">
        <f>F40-F30</f>
        <v>-4.1710000009965356</v>
      </c>
      <c r="N40" s="302">
        <f>SUM(K40:M40)</f>
        <v>8.398999999266179</v>
      </c>
    </row>
    <row r="41" spans="1:14" x14ac:dyDescent="0.3">
      <c r="A41" s="282" t="s">
        <v>356</v>
      </c>
      <c r="B41" s="302">
        <f>'Ind T6'!V9</f>
        <v>32.206000000034386</v>
      </c>
      <c r="C41" s="299" t="str">
        <f>CONCATENATE("(",ROUND((B41/$H42)*100,1),")")</f>
        <v>(12.9)</v>
      </c>
      <c r="D41" s="302">
        <f>'Ind T6'!W9</f>
        <v>15.853999999921012</v>
      </c>
      <c r="E41" s="299" t="str">
        <f>CONCATENATE("(",ROUND((D41/$H42)*100,1),")")</f>
        <v>(6.4)</v>
      </c>
      <c r="F41" s="302">
        <f>'Ind T6'!X9</f>
        <v>27.554999999739444</v>
      </c>
      <c r="G41" s="299" t="str">
        <f>CONCATENATE("(",ROUND((F41/$H42)*100,1),")")</f>
        <v>(11.1)</v>
      </c>
      <c r="H41" s="302">
        <f t="shared" ref="H41" si="46">SUM(B41,D41,F41)</f>
        <v>75.614999999694845</v>
      </c>
      <c r="I41" s="299" t="str">
        <f>CONCATENATE("(",ROUND((H41/$H42)*100,1),")")</f>
        <v>(30.3)</v>
      </c>
      <c r="K41" s="302">
        <f t="shared" ref="K41:K42" si="47">B41-B31</f>
        <v>0.33100000019421216</v>
      </c>
      <c r="L41" s="302">
        <f t="shared" ref="L41:L42" si="48">D41-D31</f>
        <v>-1.3210000002315176</v>
      </c>
      <c r="M41" s="302">
        <f t="shared" ref="M41:M42" si="49">F41-F31</f>
        <v>2.0460000001072842</v>
      </c>
      <c r="N41" s="302">
        <f t="shared" ref="N41:N42" si="50">SUM(K41:M41)</f>
        <v>1.0560000000699787</v>
      </c>
    </row>
    <row r="42" spans="1:14" x14ac:dyDescent="0.3">
      <c r="A42" s="282" t="s">
        <v>354</v>
      </c>
      <c r="B42" s="302">
        <f>SUM(B40:B41)</f>
        <v>135.14700000060077</v>
      </c>
      <c r="C42" s="299" t="str">
        <f>CONCATENATE("(",ROUND((B42/$H42)*100,1),")")</f>
        <v>(54.2)</v>
      </c>
      <c r="D42" s="302">
        <f>SUM(D40:D41)</f>
        <v>25.449999999925467</v>
      </c>
      <c r="E42" s="299" t="str">
        <f>CONCATENATE("(",ROUND((D42/$H42)*100,1),")")</f>
        <v>(10.2)</v>
      </c>
      <c r="F42" s="302">
        <f>SUM(F40:F41)</f>
        <v>88.551999997564394</v>
      </c>
      <c r="G42" s="299" t="str">
        <f>CONCATENATE("(",ROUND((F42/$H42)*100,1),")")</f>
        <v>(35.5)</v>
      </c>
      <c r="H42" s="302">
        <f>SUM(H40:H41)</f>
        <v>249.14899999809063</v>
      </c>
      <c r="I42" s="299" t="str">
        <f>CONCATENATE("(",ROUND((H42/$H42)*100,1),")")</f>
        <v>(100)</v>
      </c>
      <c r="K42" s="302">
        <f t="shared" si="47"/>
        <v>12.555000000481627</v>
      </c>
      <c r="L42" s="302">
        <f t="shared" si="48"/>
        <v>-0.97500000025620537</v>
      </c>
      <c r="M42" s="302">
        <f t="shared" si="49"/>
        <v>-2.1250000008892584</v>
      </c>
      <c r="N42" s="302">
        <f t="shared" si="50"/>
        <v>9.4549999993361631</v>
      </c>
    </row>
    <row r="43" spans="1:14" x14ac:dyDescent="0.3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3">
      <c r="C46" s="181"/>
      <c r="E46" s="181"/>
      <c r="G46" s="181"/>
      <c r="I46" s="181"/>
    </row>
    <row r="47" spans="1:14" x14ac:dyDescent="0.3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3">
      <c r="N48" s="287" t="s">
        <v>377</v>
      </c>
    </row>
    <row r="49" spans="1:14" x14ac:dyDescent="0.3">
      <c r="A49" s="181" t="s">
        <v>378</v>
      </c>
      <c r="B49" s="370" t="s">
        <v>376</v>
      </c>
      <c r="C49" s="370"/>
      <c r="D49" s="370" t="s">
        <v>375</v>
      </c>
      <c r="E49" s="370"/>
      <c r="F49" s="370" t="s">
        <v>374</v>
      </c>
      <c r="G49" s="370"/>
      <c r="H49" s="370" t="s">
        <v>32</v>
      </c>
      <c r="I49" s="370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3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3">
      <c r="A51" s="282" t="s">
        <v>355</v>
      </c>
      <c r="B51" s="302">
        <f>'Ind T6'!L20</f>
        <v>18.187000000024771</v>
      </c>
      <c r="C51" s="299" t="str">
        <f>CONCATENATE("(",ROUND((B51/$H53)*100,1),")")</f>
        <v>(74.2)</v>
      </c>
      <c r="D51" s="302">
        <f>'Ind T6'!M20</f>
        <v>0.72700000000191345</v>
      </c>
      <c r="E51" s="299" t="str">
        <f>CONCATENATE("(",ROUND((D51/$H53)*100,1),")")</f>
        <v>(3)</v>
      </c>
      <c r="F51" s="302">
        <f>'Ind T6'!N20</f>
        <v>1.8899999999868433</v>
      </c>
      <c r="G51" s="299" t="str">
        <f>CONCATENATE("(",ROUND((F51/$H53)*100,1),")")</f>
        <v>(7.7)</v>
      </c>
      <c r="H51" s="302">
        <f>SUM(B51,D51,F51)</f>
        <v>20.804000000013527</v>
      </c>
      <c r="I51" s="299" t="str">
        <f>CONCATENATE("(",ROUND((H51/$H53)*100,1),")")</f>
        <v>(84.9)</v>
      </c>
      <c r="K51" s="302">
        <f>B56-B51</f>
        <v>-3.6059999999602201</v>
      </c>
      <c r="L51" s="302">
        <f>D56-D51</f>
        <v>-0.11099999999933996</v>
      </c>
      <c r="M51" s="302">
        <f>F56-F51</f>
        <v>-0.31300000001657424</v>
      </c>
      <c r="N51" s="302">
        <f>SUM(K51:M51)</f>
        <v>-4.029999999976134</v>
      </c>
    </row>
    <row r="52" spans="1:14" x14ac:dyDescent="0.3">
      <c r="A52" s="282" t="s">
        <v>356</v>
      </c>
      <c r="B52" s="302">
        <f>'Ind T6'!L19</f>
        <v>3.025999999985137</v>
      </c>
      <c r="C52" s="299" t="str">
        <f>CONCATENATE("(",ROUND((B52/$H53)*100,1),")")</f>
        <v>(12.3)</v>
      </c>
      <c r="D52" s="302">
        <f>'Ind T6'!M19</f>
        <v>0.67599999999921123</v>
      </c>
      <c r="E52" s="299" t="str">
        <f>CONCATENATE("(",ROUND((D52/$H53)*100,1),")")</f>
        <v>(2.8)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3.7019999999843485</v>
      </c>
      <c r="I52" s="299" t="str">
        <f>CONCATENATE("(",ROUND((H52/$H53)*100,1),")")</f>
        <v>(15.1)</v>
      </c>
      <c r="K52" s="302">
        <f t="shared" ref="K52:K53" si="52">B57-B52</f>
        <v>-0.60599999996015574</v>
      </c>
      <c r="L52" s="302">
        <f t="shared" ref="L52:L53" si="53">D57-D52</f>
        <v>-0.12199999999951106</v>
      </c>
      <c r="M52" s="302">
        <f t="shared" ref="M52:M53" si="54">F57-F52</f>
        <v>0</v>
      </c>
      <c r="N52" s="302">
        <f t="shared" ref="N52:N53" si="55">SUM(K52:M52)</f>
        <v>-0.7279999999596668</v>
      </c>
    </row>
    <row r="53" spans="1:14" x14ac:dyDescent="0.3">
      <c r="A53" s="282" t="s">
        <v>354</v>
      </c>
      <c r="B53" s="302">
        <f>SUM(B51:B52)</f>
        <v>21.213000000009906</v>
      </c>
      <c r="C53" s="299" t="str">
        <f>CONCATENATE("(",ROUND((B53/$H53)*100,1),")")</f>
        <v>(86.6)</v>
      </c>
      <c r="D53" s="302">
        <f>SUM(D51:D52)</f>
        <v>1.4030000000011247</v>
      </c>
      <c r="E53" s="299" t="str">
        <f>CONCATENATE("(",ROUND((D53/$H53)*100,1),")")</f>
        <v>(5.7)</v>
      </c>
      <c r="F53" s="302">
        <f>SUM(F51:F52)</f>
        <v>1.8899999999868433</v>
      </c>
      <c r="G53" s="299" t="str">
        <f>CONCATENATE("(",ROUND((F53/$H53)*100,1),")")</f>
        <v>(7.7)</v>
      </c>
      <c r="H53" s="302">
        <f>SUM(H51:H52)</f>
        <v>24.505999999997876</v>
      </c>
      <c r="I53" s="299" t="str">
        <f>CONCATENATE("(",ROUND((H53/$H53)*100,1),")")</f>
        <v>(100)</v>
      </c>
      <c r="K53" s="302">
        <f t="shared" si="52"/>
        <v>-4.2119999999203728</v>
      </c>
      <c r="L53" s="302">
        <f t="shared" si="53"/>
        <v>-0.23299999999885102</v>
      </c>
      <c r="M53" s="302">
        <f t="shared" si="54"/>
        <v>-0.31300000001657424</v>
      </c>
      <c r="N53" s="302">
        <f t="shared" si="55"/>
        <v>-4.757999999935798</v>
      </c>
    </row>
    <row r="54" spans="1:14" x14ac:dyDescent="0.3">
      <c r="B54" s="302"/>
      <c r="C54" s="284"/>
      <c r="D54" s="302"/>
      <c r="E54" s="284"/>
      <c r="F54" s="302"/>
      <c r="G54" s="284"/>
      <c r="H54" s="302"/>
      <c r="I54" s="284"/>
    </row>
    <row r="55" spans="1:14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3">
      <c r="A56" s="282" t="s">
        <v>355</v>
      </c>
      <c r="B56" s="302">
        <f>'Ind T6'!Q20</f>
        <v>14.581000000064551</v>
      </c>
      <c r="C56" s="299" t="str">
        <f>CONCATENATE("(",ROUND((B56/$H58)*100,1),")")</f>
        <v>(73.8)</v>
      </c>
      <c r="D56" s="302">
        <f>'Ind T6'!R20</f>
        <v>0.61600000000257349</v>
      </c>
      <c r="E56" s="299" t="str">
        <f>CONCATENATE("(",ROUND((D56/$H58)*100,1),")")</f>
        <v>(3.1)</v>
      </c>
      <c r="F56" s="302">
        <f>'Ind T6'!S20</f>
        <v>1.5769999999702691</v>
      </c>
      <c r="G56" s="299" t="str">
        <f>CONCATENATE("(",ROUND((F56/$H58)*100,1),")")</f>
        <v>(8)</v>
      </c>
      <c r="H56" s="302">
        <f>SUM(B56,D56,F56)</f>
        <v>16.774000000037393</v>
      </c>
      <c r="I56" s="299" t="str">
        <f>CONCATENATE("(",ROUND((H56/$H58)*100,1),")")</f>
        <v>(84.9)</v>
      </c>
      <c r="K56" s="302">
        <f>B61-B56</f>
        <v>-3.7640000000145193</v>
      </c>
      <c r="L56" s="302">
        <f>D61-D56</f>
        <v>-0.11700000000004035</v>
      </c>
      <c r="M56" s="302">
        <f>F61-F56</f>
        <v>-0.36699999998523491</v>
      </c>
      <c r="N56" s="302">
        <f>SUM(K56:M56)</f>
        <v>-4.2479999999997951</v>
      </c>
    </row>
    <row r="57" spans="1:14" x14ac:dyDescent="0.3">
      <c r="A57" s="282" t="s">
        <v>356</v>
      </c>
      <c r="B57" s="302">
        <f>'Ind T6'!Q19</f>
        <v>2.4200000000249813</v>
      </c>
      <c r="C57" s="299" t="str">
        <f>CONCATENATE("(",ROUND((B57/$H58)*100,1),")")</f>
        <v>(12.3)</v>
      </c>
      <c r="D57" s="302">
        <f>'Ind T6'!R19</f>
        <v>0.55399999999970018</v>
      </c>
      <c r="E57" s="299" t="str">
        <f>CONCATENATE("(",ROUND((D57/$H58)*100,1),")")</f>
        <v>(2.8)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2.9740000000246813</v>
      </c>
      <c r="I57" s="299" t="str">
        <f>CONCATENATE("(",ROUND((H57/$H58)*100,1),")")</f>
        <v>(15.1)</v>
      </c>
      <c r="K57" s="302">
        <f t="shared" ref="K57:K58" si="57">B62-B57</f>
        <v>-0.68300000001983063</v>
      </c>
      <c r="L57" s="302">
        <f t="shared" ref="L57:L58" si="58">D62-D57</f>
        <v>-0.11899999999939781</v>
      </c>
      <c r="M57" s="302">
        <f t="shared" ref="M57:M58" si="59">F62-F57</f>
        <v>0</v>
      </c>
      <c r="N57" s="302">
        <f t="shared" ref="N57:N58" si="60">SUM(K57:M57)</f>
        <v>-0.80200000001922844</v>
      </c>
    </row>
    <row r="58" spans="1:14" x14ac:dyDescent="0.3">
      <c r="A58" s="282" t="s">
        <v>354</v>
      </c>
      <c r="B58" s="302">
        <f>SUM(B56:B57)</f>
        <v>17.001000000089533</v>
      </c>
      <c r="C58" s="299" t="str">
        <f>CONCATENATE("(",ROUND((B58/$H58)*100,1),")")</f>
        <v>(86.1)</v>
      </c>
      <c r="D58" s="302">
        <f>SUM(D56:D57)</f>
        <v>1.1700000000022737</v>
      </c>
      <c r="E58" s="299" t="str">
        <f>CONCATENATE("(",ROUND((D58/$H58)*100,1),")")</f>
        <v>(5.9)</v>
      </c>
      <c r="F58" s="302">
        <f>SUM(F56:F57)</f>
        <v>1.5769999999702691</v>
      </c>
      <c r="G58" s="299" t="str">
        <f>CONCATENATE("(",ROUND((F58/$H58)*100,1),")")</f>
        <v>(8)</v>
      </c>
      <c r="H58" s="302">
        <f>SUM(H56:H57)</f>
        <v>19.748000000062074</v>
      </c>
      <c r="I58" s="299" t="str">
        <f>CONCATENATE("(",ROUND((H58/$H58)*100,1),")")</f>
        <v>(100)</v>
      </c>
      <c r="K58" s="302">
        <f t="shared" si="57"/>
        <v>-4.4470000000343504</v>
      </c>
      <c r="L58" s="302">
        <f t="shared" si="58"/>
        <v>-0.23599999999943821</v>
      </c>
      <c r="M58" s="302">
        <f t="shared" si="59"/>
        <v>-0.36699999998523491</v>
      </c>
      <c r="N58" s="302">
        <f t="shared" si="60"/>
        <v>-5.0500000000190237</v>
      </c>
    </row>
    <row r="59" spans="1:14" x14ac:dyDescent="0.3">
      <c r="B59" s="302"/>
      <c r="C59" s="284"/>
      <c r="D59" s="302"/>
      <c r="E59" s="284"/>
      <c r="F59" s="302"/>
      <c r="G59" s="284"/>
      <c r="H59" s="302"/>
      <c r="I59" s="284"/>
    </row>
    <row r="60" spans="1:14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3">
      <c r="A61" s="282" t="s">
        <v>355</v>
      </c>
      <c r="B61" s="302">
        <f>'Ind T6'!V20</f>
        <v>10.817000000050031</v>
      </c>
      <c r="C61" s="299" t="str">
        <f>CONCATENATE("(",ROUND((B61/$H63)*100,1),")")</f>
        <v>(73.6)</v>
      </c>
      <c r="D61" s="302">
        <f>'Ind T6'!W20</f>
        <v>0.49900000000253314</v>
      </c>
      <c r="E61" s="299" t="str">
        <f>CONCATENATE("(",ROUND((D61/$H63)*100,1),")")</f>
        <v>(3.4)</v>
      </c>
      <c r="F61" s="302">
        <f>'Ind T6'!X20</f>
        <v>1.2099999999850342</v>
      </c>
      <c r="G61" s="299" t="str">
        <f>CONCATENATE("(",ROUND((F61/$H63)*100,1),")")</f>
        <v>(8.2)</v>
      </c>
      <c r="H61" s="302">
        <f>SUM(B61,D61,F61)</f>
        <v>12.526000000037598</v>
      </c>
      <c r="I61" s="299" t="str">
        <f>CONCATENATE("(",ROUND((H61/$H63)*100,1),")")</f>
        <v>(85.2)</v>
      </c>
      <c r="K61" s="302">
        <f>B61-B51</f>
        <v>-7.3699999999747394</v>
      </c>
      <c r="L61" s="302">
        <f>D61-D51</f>
        <v>-0.22799999999938031</v>
      </c>
      <c r="M61" s="302">
        <f>F61-F51</f>
        <v>-0.68000000000180916</v>
      </c>
      <c r="N61" s="302">
        <f>SUM(K61:M61)</f>
        <v>-8.2779999999759291</v>
      </c>
    </row>
    <row r="62" spans="1:14" x14ac:dyDescent="0.3">
      <c r="A62" s="282" t="s">
        <v>356</v>
      </c>
      <c r="B62" s="302">
        <f>'Ind T6'!V19</f>
        <v>1.7370000000051506</v>
      </c>
      <c r="C62" s="299" t="str">
        <f>CONCATENATE("(",ROUND((B62/$H63)*100,1),")")</f>
        <v>(11.8)</v>
      </c>
      <c r="D62" s="302">
        <f>'Ind T6'!W19</f>
        <v>0.43500000000030237</v>
      </c>
      <c r="E62" s="299" t="str">
        <f>CONCATENATE("(",ROUND((D62/$H63)*100,1),")")</f>
        <v>(3)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2.1720000000054531</v>
      </c>
      <c r="I62" s="299" t="str">
        <f>CONCATENATE("(",ROUND((H62/$H63)*100,1),")")</f>
        <v>(14.8)</v>
      </c>
      <c r="K62" s="302">
        <f t="shared" ref="K62:K63" si="62">B62-B52</f>
        <v>-1.2889999999799864</v>
      </c>
      <c r="L62" s="302">
        <f t="shared" ref="L62:L63" si="63">D62-D52</f>
        <v>-0.24099999999890886</v>
      </c>
      <c r="M62" s="302">
        <f t="shared" ref="M62:M63" si="64">F62-F52</f>
        <v>0</v>
      </c>
      <c r="N62" s="302">
        <f t="shared" ref="N62:N63" si="65">SUM(K62:M62)</f>
        <v>-1.5299999999788954</v>
      </c>
    </row>
    <row r="63" spans="1:14" x14ac:dyDescent="0.3">
      <c r="A63" s="282" t="s">
        <v>354</v>
      </c>
      <c r="B63" s="302">
        <f>SUM(B61:B62)</f>
        <v>12.554000000055183</v>
      </c>
      <c r="C63" s="299" t="str">
        <f>CONCATENATE("(",ROUND((B63/$H63)*100,1),")")</f>
        <v>(85.4)</v>
      </c>
      <c r="D63" s="302">
        <f>SUM(D61:D62)</f>
        <v>0.93400000000283545</v>
      </c>
      <c r="E63" s="299" t="str">
        <f>CONCATENATE("(",ROUND((D63/$H63)*100,1),")")</f>
        <v>(6.4)</v>
      </c>
      <c r="F63" s="302">
        <f>SUM(F61:F62)</f>
        <v>1.2099999999850342</v>
      </c>
      <c r="G63" s="299" t="str">
        <f>CONCATENATE("(",ROUND((F63/$H63)*100,1),")")</f>
        <v>(8.2)</v>
      </c>
      <c r="H63" s="302">
        <f>SUM(H61:H62)</f>
        <v>14.698000000043052</v>
      </c>
      <c r="I63" s="299" t="str">
        <f>CONCATENATE("(",ROUND((H63/$H63)*100,1),")")</f>
        <v>(100)</v>
      </c>
      <c r="K63" s="302">
        <f t="shared" si="62"/>
        <v>-8.6589999999547231</v>
      </c>
      <c r="L63" s="302">
        <f t="shared" si="63"/>
        <v>-0.46899999999828923</v>
      </c>
      <c r="M63" s="302">
        <f t="shared" si="64"/>
        <v>-0.68000000000180916</v>
      </c>
      <c r="N63" s="302">
        <f t="shared" si="65"/>
        <v>-9.8079999999548217</v>
      </c>
    </row>
    <row r="64" spans="1:14" x14ac:dyDescent="0.3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3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3">
      <c r="N69" s="287" t="s">
        <v>377</v>
      </c>
    </row>
    <row r="70" spans="1:14" x14ac:dyDescent="0.3">
      <c r="A70" s="181" t="s">
        <v>378</v>
      </c>
      <c r="B70" s="370" t="s">
        <v>376</v>
      </c>
      <c r="C70" s="370"/>
      <c r="D70" s="370" t="s">
        <v>375</v>
      </c>
      <c r="E70" s="370"/>
      <c r="F70" s="370" t="s">
        <v>374</v>
      </c>
      <c r="G70" s="370"/>
      <c r="H70" s="370" t="s">
        <v>32</v>
      </c>
      <c r="I70" s="370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3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3">
      <c r="A72" s="282" t="s">
        <v>355</v>
      </c>
      <c r="B72" s="302">
        <f>'Ind T6'!L40</f>
        <v>211.12000000033709</v>
      </c>
      <c r="C72" s="299" t="str">
        <f>CONCATENATE("(",ROUND((B72/$H74)*100,1),")")</f>
        <v>(57.5)</v>
      </c>
      <c r="D72" s="302">
        <f>'Ind T6'!M40</f>
        <v>16.646999999887157</v>
      </c>
      <c r="E72" s="299" t="str">
        <f>CONCATENATE("(",ROUND((D72/$H74)*100,1),")")</f>
        <v>(4.5)</v>
      </c>
      <c r="F72" s="302">
        <f>'Ind T6'!N40</f>
        <v>5.140999999972796</v>
      </c>
      <c r="G72" s="299" t="str">
        <f>CONCATENATE("(",ROUND((F72/$H74)*100,1),")")</f>
        <v>(1.4)</v>
      </c>
      <c r="H72" s="302">
        <f>SUM(B72,D72,F72)</f>
        <v>232.90800000019703</v>
      </c>
      <c r="I72" s="299" t="str">
        <f>CONCATENATE("(",ROUND((H72/$H74)*100,1),")")</f>
        <v>(63.4)</v>
      </c>
      <c r="K72" s="302">
        <f>B77-B72</f>
        <v>-0.67299999982597569</v>
      </c>
      <c r="L72" s="302">
        <f>D77-D72</f>
        <v>0.31900000005518336</v>
      </c>
      <c r="M72" s="302">
        <f>F77-F72</f>
        <v>0.11699999999092281</v>
      </c>
      <c r="N72" s="302">
        <f>SUM(K72:M72)</f>
        <v>-0.23699999977986952</v>
      </c>
    </row>
    <row r="73" spans="1:14" x14ac:dyDescent="0.3">
      <c r="A73" s="282" t="s">
        <v>356</v>
      </c>
      <c r="B73" s="302">
        <f>'Ind T6'!L39</f>
        <v>97.971999999586387</v>
      </c>
      <c r="C73" s="299" t="str">
        <f>CONCATENATE("(",ROUND((B73/$H74)*100,1),")")</f>
        <v>(26.7)</v>
      </c>
      <c r="D73" s="302">
        <f>'Ind T6'!M39</f>
        <v>29.131000000611223</v>
      </c>
      <c r="E73" s="299" t="str">
        <f>CONCATENATE("(",ROUND((D73/$H74)*100,1),")")</f>
        <v>(7.9)</v>
      </c>
      <c r="F73" s="302">
        <f>'Ind T6'!N39</f>
        <v>7.2979999998768248</v>
      </c>
      <c r="G73" s="299" t="str">
        <f>CONCATENATE("(",ROUND((F73/$H74)*100,1),")")</f>
        <v>(2)</v>
      </c>
      <c r="H73" s="302">
        <f t="shared" ref="H73" si="66">SUM(B73,D73,F73)</f>
        <v>134.40100000007445</v>
      </c>
      <c r="I73" s="299" t="str">
        <f>CONCATENATE("(",ROUND((H73/$H74)*100,1),")")</f>
        <v>(36.6)</v>
      </c>
      <c r="K73" s="302">
        <f t="shared" ref="K73:K74" si="67">B78-B73</f>
        <v>4.1990000031234871</v>
      </c>
      <c r="L73" s="302">
        <f t="shared" ref="L73:L74" si="68">D78-D73</f>
        <v>0.41900000040814334</v>
      </c>
      <c r="M73" s="302">
        <f t="shared" ref="M73:M74" si="69">F78-F73</f>
        <v>0.12200000011464773</v>
      </c>
      <c r="N73" s="302">
        <f t="shared" ref="N73:N74" si="70">SUM(K73:M73)</f>
        <v>4.7400000036462782</v>
      </c>
    </row>
    <row r="74" spans="1:14" x14ac:dyDescent="0.3">
      <c r="A74" s="282" t="s">
        <v>354</v>
      </c>
      <c r="B74" s="302">
        <f>SUM(B72:B73)</f>
        <v>309.09199999992347</v>
      </c>
      <c r="C74" s="299" t="str">
        <f>CONCATENATE("(",ROUND((B74/$H74)*100,1),")")</f>
        <v>(84.2)</v>
      </c>
      <c r="D74" s="302">
        <f>SUM(D72:D73)</f>
        <v>45.77800000049838</v>
      </c>
      <c r="E74" s="299" t="str">
        <f>CONCATENATE("(",ROUND((D74/$H74)*100,1),")")</f>
        <v>(12.5)</v>
      </c>
      <c r="F74" s="302">
        <f>SUM(F72:F73)</f>
        <v>12.438999999849621</v>
      </c>
      <c r="G74" s="299" t="str">
        <f>CONCATENATE("(",ROUND((F74/$H74)*100,1),")")</f>
        <v>(3.4)</v>
      </c>
      <c r="H74" s="302">
        <f>SUM(H72:H73)</f>
        <v>367.30900000027145</v>
      </c>
      <c r="I74" s="299" t="str">
        <f>CONCATENATE("(",ROUND((H74/$H74)*100,1),")")</f>
        <v>(100)</v>
      </c>
      <c r="K74" s="302">
        <f t="shared" si="67"/>
        <v>3.5260000032974972</v>
      </c>
      <c r="L74" s="302">
        <f t="shared" si="68"/>
        <v>0.73800000046333025</v>
      </c>
      <c r="M74" s="302">
        <f t="shared" si="69"/>
        <v>0.23900000010556965</v>
      </c>
      <c r="N74" s="302">
        <f t="shared" si="70"/>
        <v>4.5030000038663971</v>
      </c>
    </row>
    <row r="75" spans="1:14" x14ac:dyDescent="0.3">
      <c r="B75" s="302"/>
      <c r="C75" s="284"/>
      <c r="D75" s="302"/>
      <c r="E75" s="284"/>
      <c r="F75" s="302"/>
      <c r="G75" s="284"/>
      <c r="H75" s="302"/>
      <c r="I75" s="284"/>
    </row>
    <row r="76" spans="1:14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3">
      <c r="A77" s="282" t="s">
        <v>355</v>
      </c>
      <c r="B77" s="302">
        <f>'Ind T6'!Q40</f>
        <v>210.44700000051111</v>
      </c>
      <c r="C77" s="299" t="str">
        <f>CONCATENATE("(",ROUND((B77/$H79)*100,1),")")</f>
        <v>(56.6)</v>
      </c>
      <c r="D77" s="302">
        <f>'Ind T6'!R40</f>
        <v>16.965999999942341</v>
      </c>
      <c r="E77" s="299" t="str">
        <f>CONCATENATE("(",ROUND((D77/$H79)*100,1),")")</f>
        <v>(4.6)</v>
      </c>
      <c r="F77" s="302">
        <f>'Ind T6'!S40</f>
        <v>5.2579999999637188</v>
      </c>
      <c r="G77" s="299" t="str">
        <f>CONCATENATE("(",ROUND((F77/$H79)*100,1),")")</f>
        <v>(1.4)</v>
      </c>
      <c r="H77" s="302">
        <f>SUM(B77,D77,F77)</f>
        <v>232.67100000041717</v>
      </c>
      <c r="I77" s="299" t="str">
        <f>CONCATENATE("(",ROUND((H77/$H79)*100,1),")")</f>
        <v>(62.6)</v>
      </c>
      <c r="K77" s="302">
        <f>B82-B77</f>
        <v>-11.460000000207685</v>
      </c>
      <c r="L77" s="302">
        <f>D82-D77</f>
        <v>-0.24400000000096966</v>
      </c>
      <c r="M77" s="302">
        <f>F82-F77</f>
        <v>5.6000000010646644E-2</v>
      </c>
      <c r="N77" s="302">
        <f>SUM(K77:M77)</f>
        <v>-11.648000000198008</v>
      </c>
    </row>
    <row r="78" spans="1:14" x14ac:dyDescent="0.3">
      <c r="A78" s="282" t="s">
        <v>356</v>
      </c>
      <c r="B78" s="302">
        <f>'Ind T6'!Q39</f>
        <v>102.17100000270987</v>
      </c>
      <c r="C78" s="299" t="str">
        <f>CONCATENATE("(",ROUND((B78/$H79)*100,1),")")</f>
        <v>(27.5)</v>
      </c>
      <c r="D78" s="302">
        <f>'Ind T6'!R39</f>
        <v>29.550000001019367</v>
      </c>
      <c r="E78" s="299" t="str">
        <f>CONCATENATE("(",ROUND((D78/$H79)*100,1),")")</f>
        <v>(7.9)</v>
      </c>
      <c r="F78" s="302">
        <f>'Ind T6'!S39</f>
        <v>7.4199999999914725</v>
      </c>
      <c r="G78" s="299" t="str">
        <f>CONCATENATE("(",ROUND((F78/$H79)*100,1),")")</f>
        <v>(2)</v>
      </c>
      <c r="H78" s="302">
        <f t="shared" ref="H78" si="71">SUM(B78,D78,F78)</f>
        <v>139.14100000372071</v>
      </c>
      <c r="I78" s="299" t="str">
        <f>CONCATENATE("(",ROUND((H78/$H79)*100,1),")")</f>
        <v>(37.4)</v>
      </c>
      <c r="K78" s="302">
        <f t="shared" ref="K78:K79" si="72">B83-B78</f>
        <v>2.8879999967631704</v>
      </c>
      <c r="L78" s="302">
        <f t="shared" ref="L78:L79" si="73">D83-D78</f>
        <v>-0.76800000126900869</v>
      </c>
      <c r="M78" s="302">
        <f t="shared" ref="M78:M79" si="74">F83-F78</f>
        <v>-0.19100000001443895</v>
      </c>
      <c r="N78" s="302">
        <f t="shared" ref="N78:N79" si="75">SUM(K78:M78)</f>
        <v>1.9289999954797228</v>
      </c>
    </row>
    <row r="79" spans="1:14" x14ac:dyDescent="0.3">
      <c r="A79" s="282" t="s">
        <v>354</v>
      </c>
      <c r="B79" s="302">
        <f>SUM(B77:B78)</f>
        <v>312.61800000322097</v>
      </c>
      <c r="C79" s="299" t="str">
        <f>CONCATENATE("(",ROUND((B79/$H79)*100,1),")")</f>
        <v>(84.1)</v>
      </c>
      <c r="D79" s="302">
        <f>SUM(D77:D78)</f>
        <v>46.516000000961711</v>
      </c>
      <c r="E79" s="299" t="str">
        <f>CONCATENATE("(",ROUND((D79/$H79)*100,1),")")</f>
        <v>(12.5)</v>
      </c>
      <c r="F79" s="302">
        <f>SUM(F77:F78)</f>
        <v>12.67799999995519</v>
      </c>
      <c r="G79" s="299" t="str">
        <f>CONCATENATE("(",ROUND((F79/$H79)*100,1),")")</f>
        <v>(3.4)</v>
      </c>
      <c r="H79" s="302">
        <f>SUM(H77:H78)</f>
        <v>371.81200000413787</v>
      </c>
      <c r="I79" s="299" t="str">
        <f>CONCATENATE("(",ROUND((H79/$H79)*100,1),")")</f>
        <v>(100)</v>
      </c>
      <c r="K79" s="302">
        <f t="shared" si="72"/>
        <v>-8.5720000034444865</v>
      </c>
      <c r="L79" s="302">
        <f t="shared" si="73"/>
        <v>-1.0120000012699819</v>
      </c>
      <c r="M79" s="302">
        <f t="shared" si="74"/>
        <v>-0.13500000000379231</v>
      </c>
      <c r="N79" s="302">
        <f t="shared" si="75"/>
        <v>-9.7190000047182608</v>
      </c>
    </row>
    <row r="80" spans="1:14" x14ac:dyDescent="0.3">
      <c r="B80" s="302"/>
      <c r="C80" s="284"/>
      <c r="D80" s="302"/>
      <c r="E80" s="284"/>
      <c r="F80" s="302"/>
      <c r="G80" s="284"/>
      <c r="H80" s="302"/>
      <c r="I80" s="284"/>
    </row>
    <row r="81" spans="1:14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3">
      <c r="A82" s="282" t="s">
        <v>355</v>
      </c>
      <c r="B82" s="302">
        <f>'Ind T6'!V40</f>
        <v>198.98700000030342</v>
      </c>
      <c r="C82" s="299" t="str">
        <f>CONCATENATE("(",ROUND((B82/$H84)*100,1),")")</f>
        <v>(55)</v>
      </c>
      <c r="D82" s="302">
        <f>'Ind T6'!W40</f>
        <v>16.721999999941371</v>
      </c>
      <c r="E82" s="299" t="str">
        <f>CONCATENATE("(",ROUND((D82/$H84)*100,1),")")</f>
        <v>(4.6)</v>
      </c>
      <c r="F82" s="302">
        <f>'Ind T6'!X40</f>
        <v>5.3139999999743655</v>
      </c>
      <c r="G82" s="299" t="str">
        <f>CONCATENATE("(",ROUND((F82/$H84)*100,1),")")</f>
        <v>(1.5)</v>
      </c>
      <c r="H82" s="302">
        <f>SUM(B82,D82,F82)</f>
        <v>221.02300000021916</v>
      </c>
      <c r="I82" s="299" t="str">
        <f>CONCATENATE("(",ROUND((H82/$H84)*100,1),")")</f>
        <v>(61)</v>
      </c>
      <c r="K82" s="302">
        <f>B82-B72</f>
        <v>-12.133000000033661</v>
      </c>
      <c r="L82" s="302">
        <f>D82-D72</f>
        <v>7.50000000542137E-2</v>
      </c>
      <c r="M82" s="302">
        <f>F82-F72</f>
        <v>0.17300000000156945</v>
      </c>
      <c r="N82" s="302">
        <f>SUM(K82:M82)</f>
        <v>-11.884999999977879</v>
      </c>
    </row>
    <row r="83" spans="1:14" x14ac:dyDescent="0.3">
      <c r="A83" s="282" t="s">
        <v>356</v>
      </c>
      <c r="B83" s="302">
        <f>'Ind T6'!V39</f>
        <v>105.05899999947304</v>
      </c>
      <c r="C83" s="299" t="str">
        <f>CONCATENATE("(",ROUND((B83/$H84)*100,1),")")</f>
        <v>(29)</v>
      </c>
      <c r="D83" s="302">
        <f>'Ind T6'!W39</f>
        <v>28.781999999750358</v>
      </c>
      <c r="E83" s="299" t="str">
        <f>CONCATENATE("(",ROUND((D83/$H84)*100,1),")")</f>
        <v>(7.9)</v>
      </c>
      <c r="F83" s="302">
        <f>'Ind T6'!X39</f>
        <v>7.2289999999770336</v>
      </c>
      <c r="G83" s="299" t="str">
        <f>CONCATENATE("(",ROUND((F83/$H84)*100,1),")")</f>
        <v>(2)</v>
      </c>
      <c r="H83" s="302">
        <f t="shared" ref="H83" si="76">SUM(B83,D83,F83)</f>
        <v>141.06999999920043</v>
      </c>
      <c r="I83" s="299" t="str">
        <f>CONCATENATE("(",ROUND((H83/$H84)*100,1),")")</f>
        <v>(39)</v>
      </c>
      <c r="K83" s="302">
        <f t="shared" ref="K83:K84" si="77">B83-B73</f>
        <v>7.0869999998866575</v>
      </c>
      <c r="L83" s="302">
        <f t="shared" ref="L83:L84" si="78">D83-D73</f>
        <v>-0.34900000086086536</v>
      </c>
      <c r="M83" s="302">
        <f t="shared" ref="M83:M84" si="79">F83-F73</f>
        <v>-6.899999989979122E-2</v>
      </c>
      <c r="N83" s="302">
        <f t="shared" ref="N83:N84" si="80">SUM(K83:M83)</f>
        <v>6.6689999991260009</v>
      </c>
    </row>
    <row r="84" spans="1:14" x14ac:dyDescent="0.3">
      <c r="A84" s="282" t="s">
        <v>354</v>
      </c>
      <c r="B84" s="302">
        <f>SUM(B82:B83)</f>
        <v>304.04599999977648</v>
      </c>
      <c r="C84" s="299" t="str">
        <f>CONCATENATE("(",ROUND((B84/$H84)*100,1),")")</f>
        <v>(84)</v>
      </c>
      <c r="D84" s="302">
        <f>SUM(D82:D83)</f>
        <v>45.503999999691729</v>
      </c>
      <c r="E84" s="299" t="str">
        <f>CONCATENATE("(",ROUND((D84/$H84)*100,1),")")</f>
        <v>(12.6)</v>
      </c>
      <c r="F84" s="302">
        <f>SUM(F82:F83)</f>
        <v>12.542999999951398</v>
      </c>
      <c r="G84" s="299" t="str">
        <f>CONCATENATE("(",ROUND((F84/$H84)*100,1),")")</f>
        <v>(3.5)</v>
      </c>
      <c r="H84" s="302">
        <f>SUM(H82:H83)</f>
        <v>362.09299999941959</v>
      </c>
      <c r="I84" s="299" t="str">
        <f>CONCATENATE("(",ROUND((H84/$H84)*100,1),")")</f>
        <v>(100)</v>
      </c>
      <c r="K84" s="302">
        <f t="shared" si="77"/>
        <v>-5.0460000001469894</v>
      </c>
      <c r="L84" s="302">
        <f t="shared" si="78"/>
        <v>-0.27400000080665166</v>
      </c>
      <c r="M84" s="302">
        <f t="shared" si="79"/>
        <v>0.10400000010177735</v>
      </c>
      <c r="N84" s="302">
        <f t="shared" si="80"/>
        <v>-5.2160000008518637</v>
      </c>
    </row>
    <row r="85" spans="1:14" x14ac:dyDescent="0.3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3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3">
      <c r="N90" s="287" t="s">
        <v>377</v>
      </c>
    </row>
    <row r="91" spans="1:14" x14ac:dyDescent="0.3">
      <c r="A91" s="181" t="s">
        <v>378</v>
      </c>
      <c r="B91" s="370" t="s">
        <v>376</v>
      </c>
      <c r="C91" s="370"/>
      <c r="D91" s="370" t="s">
        <v>375</v>
      </c>
      <c r="E91" s="370"/>
      <c r="F91" s="370" t="s">
        <v>374</v>
      </c>
      <c r="G91" s="370"/>
      <c r="H91" s="370" t="s">
        <v>32</v>
      </c>
      <c r="I91" s="370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3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3">
      <c r="A93" s="282" t="s">
        <v>355</v>
      </c>
      <c r="B93" s="302">
        <f>'Ind T6'!L65</f>
        <v>225.09899999946379</v>
      </c>
      <c r="C93" s="299" t="str">
        <f>CONCATENATE("(",ROUND((B93/$H95)*100,1),")")</f>
        <v>(69.8)</v>
      </c>
      <c r="D93" s="302">
        <f>'Ind T6'!M65</f>
        <v>10.263999999973997</v>
      </c>
      <c r="E93" s="299" t="str">
        <f>CONCATENATE("(",ROUND((D93/$H95)*100,1),")")</f>
        <v>(3.2)</v>
      </c>
      <c r="F93" s="302">
        <f>'Ind T6'!N65</f>
        <v>9.5260000000167437</v>
      </c>
      <c r="G93" s="299" t="str">
        <f>CONCATENATE("(",ROUND((F93/$H95)*100,1),")")</f>
        <v>(3)</v>
      </c>
      <c r="H93" s="302">
        <f>SUM(B93,D93,F93)</f>
        <v>244.88899999945454</v>
      </c>
      <c r="I93" s="299" t="str">
        <f>CONCATENATE("(",ROUND((H93/$H95)*100,1),")")</f>
        <v>(75.9)</v>
      </c>
      <c r="K93" s="302">
        <f>B98-B93</f>
        <v>4.6770000006895884</v>
      </c>
      <c r="L93" s="302">
        <f>D98-D93</f>
        <v>0.47700000000653731</v>
      </c>
      <c r="M93" s="302">
        <f>F98-F93</f>
        <v>0.65099999998974667</v>
      </c>
      <c r="N93" s="302">
        <f>SUM(K93:M93)</f>
        <v>5.8050000006858724</v>
      </c>
    </row>
    <row r="94" spans="1:14" x14ac:dyDescent="0.3">
      <c r="A94" s="282" t="s">
        <v>356</v>
      </c>
      <c r="B94" s="302">
        <f>'Ind T6'!L64</f>
        <v>56.690999999561228</v>
      </c>
      <c r="C94" s="299" t="str">
        <f>CONCATENATE("(",ROUND((B94/$H95)*100,1),")")</f>
        <v>(17.6)</v>
      </c>
      <c r="D94" s="302">
        <f>'Ind T6'!M64</f>
        <v>14.433000000131958</v>
      </c>
      <c r="E94" s="299" t="str">
        <f>CONCATENATE("(",ROUND((D94/$H95)*100,1),")")</f>
        <v>(4.5)</v>
      </c>
      <c r="F94" s="302">
        <f>'Ind T6'!N64</f>
        <v>6.6429999999334335</v>
      </c>
      <c r="G94" s="299" t="str">
        <f>CONCATENATE("(",ROUND((F94/$H95)*100,1),")")</f>
        <v>(2.1)</v>
      </c>
      <c r="H94" s="302">
        <f t="shared" ref="H94" si="81">SUM(B94,D94,F94)</f>
        <v>77.76699999962662</v>
      </c>
      <c r="I94" s="299" t="str">
        <f>CONCATENATE("(",ROUND((H94/$H95)*100,1),")")</f>
        <v>(24.1)</v>
      </c>
      <c r="K94" s="302">
        <f t="shared" ref="K94:K95" si="82">B99-B94</f>
        <v>0.21700000153131782</v>
      </c>
      <c r="L94" s="302">
        <f t="shared" ref="L94:L95" si="83">D99-D94</f>
        <v>0.18200000008726747</v>
      </c>
      <c r="M94" s="302">
        <f t="shared" ref="M94:M95" si="84">F99-F94</f>
        <v>0.12500000005382361</v>
      </c>
      <c r="N94" s="302">
        <f t="shared" ref="N94:N95" si="85">SUM(K94:M94)</f>
        <v>0.5240000016724089</v>
      </c>
    </row>
    <row r="95" spans="1:14" x14ac:dyDescent="0.3">
      <c r="A95" s="282" t="s">
        <v>354</v>
      </c>
      <c r="B95" s="302">
        <f>SUM(B93:B94)</f>
        <v>281.78999999902499</v>
      </c>
      <c r="C95" s="299" t="str">
        <f>CONCATENATE("(",ROUND((B95/$H95)*100,1),")")</f>
        <v>(87.3)</v>
      </c>
      <c r="D95" s="302">
        <f>SUM(D93:D94)</f>
        <v>24.697000000105955</v>
      </c>
      <c r="E95" s="299" t="str">
        <f>CONCATENATE("(",ROUND((D95/$H95)*100,1),")")</f>
        <v>(7.7)</v>
      </c>
      <c r="F95" s="302">
        <f>SUM(F93:F94)</f>
        <v>16.168999999950177</v>
      </c>
      <c r="G95" s="299" t="str">
        <f>CONCATENATE("(",ROUND((F95/$H95)*100,1),")")</f>
        <v>(5)</v>
      </c>
      <c r="H95" s="302">
        <f>SUM(H93:H94)</f>
        <v>322.65599999908113</v>
      </c>
      <c r="I95" s="299" t="str">
        <f>CONCATENATE("(",ROUND((H95/$H95)*100,1),")")</f>
        <v>(100)</v>
      </c>
      <c r="K95" s="302">
        <f t="shared" si="82"/>
        <v>4.8940000022209347</v>
      </c>
      <c r="L95" s="302">
        <f t="shared" si="83"/>
        <v>0.65900000009380477</v>
      </c>
      <c r="M95" s="302">
        <f t="shared" si="84"/>
        <v>0.77600000004357028</v>
      </c>
      <c r="N95" s="302">
        <f t="shared" si="85"/>
        <v>6.3290000023583097</v>
      </c>
    </row>
    <row r="96" spans="1:14" x14ac:dyDescent="0.3">
      <c r="B96" s="302"/>
      <c r="C96" s="284"/>
      <c r="D96" s="302"/>
      <c r="E96" s="284"/>
      <c r="F96" s="302"/>
      <c r="G96" s="284"/>
      <c r="H96" s="302"/>
      <c r="I96" s="284"/>
    </row>
    <row r="97" spans="1:14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3">
      <c r="A98" s="282" t="s">
        <v>355</v>
      </c>
      <c r="B98" s="302">
        <f>'Ind T6'!Q65</f>
        <v>229.77600000015337</v>
      </c>
      <c r="C98" s="299" t="str">
        <f>CONCATENATE("(",ROUND((B98/$H100)*100,1),")")</f>
        <v>(69.8)</v>
      </c>
      <c r="D98" s="302">
        <f>'Ind T6'!R65</f>
        <v>10.740999999980534</v>
      </c>
      <c r="E98" s="299" t="str">
        <f>CONCATENATE("(",ROUND((D98/$H100)*100,1),")")</f>
        <v>(3.3)</v>
      </c>
      <c r="F98" s="302">
        <f>'Ind T6'!S65</f>
        <v>10.17700000000649</v>
      </c>
      <c r="G98" s="299" t="str">
        <f>CONCATENATE("(",ROUND((F98/$H100)*100,1),")")</f>
        <v>(3.1)</v>
      </c>
      <c r="H98" s="302">
        <f>SUM(B98,D98,F98)</f>
        <v>250.69400000014042</v>
      </c>
      <c r="I98" s="299" t="str">
        <f>CONCATENATE("(",ROUND((H98/$H100)*100,1),")")</f>
        <v>(76.2)</v>
      </c>
      <c r="K98" s="302">
        <f>B103-B98</f>
        <v>-27.204999999959227</v>
      </c>
      <c r="L98" s="302">
        <f>D103-D98</f>
        <v>-0.68000000001538652</v>
      </c>
      <c r="M98" s="302">
        <f>F103-F98</f>
        <v>-0.62899999999144285</v>
      </c>
      <c r="N98" s="302">
        <f>SUM(K98:M98)</f>
        <v>-28.513999999966057</v>
      </c>
    </row>
    <row r="99" spans="1:14" x14ac:dyDescent="0.3">
      <c r="A99" s="282" t="s">
        <v>356</v>
      </c>
      <c r="B99" s="302">
        <f>'Ind T6'!Q64</f>
        <v>56.908000001092546</v>
      </c>
      <c r="C99" s="299" t="str">
        <f>CONCATENATE("(",ROUND((B99/$H100)*100,1),")")</f>
        <v>(17.3)</v>
      </c>
      <c r="D99" s="302">
        <f>'Ind T6'!R64</f>
        <v>14.615000000219226</v>
      </c>
      <c r="E99" s="299" t="str">
        <f>CONCATENATE("(",ROUND((D99/$H100)*100,1),")")</f>
        <v>(4.4)</v>
      </c>
      <c r="F99" s="302">
        <f>'Ind T6'!S64</f>
        <v>6.7679999999872571</v>
      </c>
      <c r="G99" s="299" t="str">
        <f>CONCATENATE("(",ROUND((F99/$H100)*100,1),")")</f>
        <v>(2.1)</v>
      </c>
      <c r="H99" s="302">
        <f t="shared" ref="H99" si="86">SUM(B99,D99,F99)</f>
        <v>78.291000001299025</v>
      </c>
      <c r="I99" s="299" t="str">
        <f>CONCATENATE("(",ROUND((H99/$H100)*100,1),")")</f>
        <v>(23.8)</v>
      </c>
      <c r="K99" s="302">
        <f t="shared" ref="K99:K100" si="87">B104-B99</f>
        <v>-8.0570000010014908</v>
      </c>
      <c r="L99" s="302">
        <f t="shared" ref="L99:L100" si="88">D104-D99</f>
        <v>-1.7240000002936675</v>
      </c>
      <c r="M99" s="302">
        <f t="shared" ref="M99:M100" si="89">F104-F99</f>
        <v>-0.51400000001690849</v>
      </c>
      <c r="N99" s="302">
        <f t="shared" ref="N99:N100" si="90">SUM(K99:M99)</f>
        <v>-10.295000001312067</v>
      </c>
    </row>
    <row r="100" spans="1:14" x14ac:dyDescent="0.3">
      <c r="A100" s="282" t="s">
        <v>354</v>
      </c>
      <c r="B100" s="302">
        <f>SUM(B98:B99)</f>
        <v>286.68400000124592</v>
      </c>
      <c r="C100" s="299" t="str">
        <f>CONCATENATE("(",ROUND((B100/$H100)*100,1),")")</f>
        <v>(87.1)</v>
      </c>
      <c r="D100" s="302">
        <f>SUM(D98:D99)</f>
        <v>25.35600000019976</v>
      </c>
      <c r="E100" s="299" t="str">
        <f>CONCATENATE("(",ROUND((D100/$H100)*100,1),")")</f>
        <v>(7.7)</v>
      </c>
      <c r="F100" s="302">
        <f>SUM(F98:F99)</f>
        <v>16.944999999993748</v>
      </c>
      <c r="G100" s="299" t="str">
        <f>CONCATENATE("(",ROUND((F100/$H100)*100,1),")")</f>
        <v>(5.2)</v>
      </c>
      <c r="H100" s="302">
        <f>SUM(H98:H99)</f>
        <v>328.98500000143946</v>
      </c>
      <c r="I100" s="299" t="str">
        <f>CONCATENATE("(",ROUND((H100/$H100)*100,1),")")</f>
        <v>(100)</v>
      </c>
      <c r="K100" s="302">
        <f t="shared" si="87"/>
        <v>-35.262000000960711</v>
      </c>
      <c r="L100" s="302">
        <f t="shared" si="88"/>
        <v>-2.404000000309054</v>
      </c>
      <c r="M100" s="302">
        <f t="shared" si="89"/>
        <v>-1.1430000000083513</v>
      </c>
      <c r="N100" s="302">
        <f t="shared" si="90"/>
        <v>-38.809000001278115</v>
      </c>
    </row>
    <row r="101" spans="1:14" x14ac:dyDescent="0.3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3">
      <c r="A103" s="282" t="s">
        <v>355</v>
      </c>
      <c r="B103" s="302">
        <f>'Ind T6'!V65</f>
        <v>202.57100000019415</v>
      </c>
      <c r="C103" s="299" t="str">
        <f>CONCATENATE("(",ROUND((B103/$H105)*100,1),")")</f>
        <v>(69.8)</v>
      </c>
      <c r="D103" s="302">
        <f>'Ind T6'!W65</f>
        <v>10.060999999965148</v>
      </c>
      <c r="E103" s="299" t="str">
        <f>CONCATENATE("(",ROUND((D103/$H105)*100,1),")")</f>
        <v>(3.5)</v>
      </c>
      <c r="F103" s="302">
        <f>'Ind T6'!X65</f>
        <v>9.5480000000150476</v>
      </c>
      <c r="G103" s="299" t="str">
        <f>CONCATENATE("(",ROUND((F103/$H105)*100,1),")")</f>
        <v>(3.3)</v>
      </c>
      <c r="H103" s="302">
        <f>SUM(B103,D103,F103)</f>
        <v>222.18000000017432</v>
      </c>
      <c r="I103" s="299" t="str">
        <f>CONCATENATE("(",ROUND((H103/$H105)*100,1),")")</f>
        <v>(76.6)</v>
      </c>
      <c r="K103" s="302">
        <f>B103-B93</f>
        <v>-22.527999999269639</v>
      </c>
      <c r="L103" s="302">
        <f>D103-D93</f>
        <v>-0.20300000000884921</v>
      </c>
      <c r="M103" s="302">
        <f>F103-F93</f>
        <v>2.1999999998303821E-2</v>
      </c>
      <c r="N103" s="302">
        <f>SUM(K103:M103)</f>
        <v>-22.708999999280184</v>
      </c>
    </row>
    <row r="104" spans="1:14" x14ac:dyDescent="0.3">
      <c r="A104" s="282" t="s">
        <v>356</v>
      </c>
      <c r="B104" s="302">
        <f>'Ind T6'!V64</f>
        <v>48.851000000091055</v>
      </c>
      <c r="C104" s="299" t="str">
        <f>CONCATENATE("(",ROUND((B104/$H105)*100,1),")")</f>
        <v>(16.8)</v>
      </c>
      <c r="D104" s="302">
        <f>'Ind T6'!W64</f>
        <v>12.890999999925558</v>
      </c>
      <c r="E104" s="299" t="str">
        <f>CONCATENATE("(",ROUND((D104/$H105)*100,1),")")</f>
        <v>(4.4)</v>
      </c>
      <c r="F104" s="302">
        <f>'Ind T6'!X64</f>
        <v>6.2539999999703486</v>
      </c>
      <c r="G104" s="299" t="str">
        <f>CONCATENATE("(",ROUND((F104/$H105)*100,1),")")</f>
        <v>(2.2)</v>
      </c>
      <c r="H104" s="302">
        <f t="shared" ref="H104" si="91">SUM(B104,D104,F104)</f>
        <v>67.995999999986964</v>
      </c>
      <c r="I104" s="299" t="str">
        <f>CONCATENATE("(",ROUND((H104/$H105)*100,1),")")</f>
        <v>(23.4)</v>
      </c>
      <c r="K104" s="302">
        <f t="shared" ref="K104:K105" si="92">B104-B94</f>
        <v>-7.839999999470173</v>
      </c>
      <c r="L104" s="302">
        <f t="shared" ref="L104:L105" si="93">D104-D94</f>
        <v>-1.5420000002064</v>
      </c>
      <c r="M104" s="302">
        <f t="shared" ref="M104:M105" si="94">F104-F94</f>
        <v>-0.38899999996308487</v>
      </c>
      <c r="N104" s="302">
        <f t="shared" ref="N104:N105" si="95">SUM(K104:M104)</f>
        <v>-9.7709999996396579</v>
      </c>
    </row>
    <row r="105" spans="1:14" x14ac:dyDescent="0.3">
      <c r="A105" s="282" t="s">
        <v>354</v>
      </c>
      <c r="B105" s="302">
        <f>SUM(B103:B104)</f>
        <v>251.42200000028521</v>
      </c>
      <c r="C105" s="299" t="str">
        <f>CONCATENATE("(",ROUND((B105/$H105)*100,1),")")</f>
        <v>(86.6)</v>
      </c>
      <c r="D105" s="302">
        <f>SUM(D103:D104)</f>
        <v>22.951999999890706</v>
      </c>
      <c r="E105" s="299" t="str">
        <f>CONCATENATE("(",ROUND((D105/$H105)*100,1),")")</f>
        <v>(7.9)</v>
      </c>
      <c r="F105" s="302">
        <f>SUM(F103:F104)</f>
        <v>15.801999999985396</v>
      </c>
      <c r="G105" s="299" t="str">
        <f>CONCATENATE("(",ROUND((F105/$H105)*100,1),")")</f>
        <v>(5.4)</v>
      </c>
      <c r="H105" s="302">
        <f>SUM(H103:H104)</f>
        <v>290.17600000016125</v>
      </c>
      <c r="I105" s="299" t="str">
        <f>CONCATENATE("(",ROUND((H105/$H105)*100,1),")")</f>
        <v>(100)</v>
      </c>
      <c r="K105" s="302">
        <f t="shared" si="92"/>
        <v>-30.367999998739776</v>
      </c>
      <c r="L105" s="302">
        <f t="shared" si="93"/>
        <v>-1.7450000002152493</v>
      </c>
      <c r="M105" s="302">
        <f t="shared" si="94"/>
        <v>-0.36699999996478105</v>
      </c>
      <c r="N105" s="302">
        <f t="shared" si="95"/>
        <v>-32.479999998919808</v>
      </c>
    </row>
    <row r="106" spans="1:14" x14ac:dyDescent="0.3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3">
      <c r="A107" s="295"/>
    </row>
    <row r="109" spans="1:14" x14ac:dyDescent="0.3">
      <c r="C109" s="181"/>
      <c r="E109" s="181"/>
      <c r="G109" s="181"/>
      <c r="I109" s="181"/>
    </row>
    <row r="110" spans="1:14" x14ac:dyDescent="0.3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3">
      <c r="N111" s="287" t="s">
        <v>377</v>
      </c>
    </row>
    <row r="112" spans="1:14" x14ac:dyDescent="0.3">
      <c r="A112" s="181" t="s">
        <v>378</v>
      </c>
      <c r="B112" s="370" t="s">
        <v>376</v>
      </c>
      <c r="C112" s="370"/>
      <c r="D112" s="370" t="s">
        <v>375</v>
      </c>
      <c r="E112" s="370"/>
      <c r="F112" s="370" t="s">
        <v>374</v>
      </c>
      <c r="G112" s="370"/>
      <c r="H112" s="370" t="s">
        <v>32</v>
      </c>
      <c r="I112" s="370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3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3">
      <c r="A114" s="282" t="s">
        <v>355</v>
      </c>
      <c r="B114" s="302">
        <f>'Ind T6'!L155</f>
        <v>1026.103999998589</v>
      </c>
      <c r="C114" s="299" t="str">
        <f>CONCATENATE("(",ROUND((B114/$H116)*100,1),")")</f>
        <v>(67.6)</v>
      </c>
      <c r="D114" s="302">
        <f>'Ind T6'!M155</f>
        <v>57.249000000078638</v>
      </c>
      <c r="E114" s="299" t="str">
        <f>CONCATENATE("(",ROUND((D114/$H116)*100,1),")")</f>
        <v>(3.8)</v>
      </c>
      <c r="F114" s="302">
        <f>'Ind T6'!N155</f>
        <v>87.686999999727917</v>
      </c>
      <c r="G114" s="299" t="str">
        <f>CONCATENATE("(",ROUND((F114/$H116)*100,1),")")</f>
        <v>(5.8)</v>
      </c>
      <c r="H114" s="302">
        <f>SUM(B114,D114,F114)</f>
        <v>1171.0399999983956</v>
      </c>
      <c r="I114" s="299" t="str">
        <f>CONCATENATE("(",ROUND((H114/$H116)*100,1),")")</f>
        <v>(77.1)</v>
      </c>
      <c r="K114" s="302">
        <f>B119-B114</f>
        <v>-59.686999997676139</v>
      </c>
      <c r="L114" s="302">
        <f>D119-D114</f>
        <v>-3.5930000000840181</v>
      </c>
      <c r="M114" s="302">
        <f>F119-F114</f>
        <v>-5.7610000006266091</v>
      </c>
      <c r="N114" s="302">
        <f>SUM(K114:M114)</f>
        <v>-69.040999998386766</v>
      </c>
    </row>
    <row r="115" spans="1:14" x14ac:dyDescent="0.3">
      <c r="A115" s="282" t="s">
        <v>356</v>
      </c>
      <c r="B115" s="302">
        <f>'Ind T6'!L154</f>
        <v>235.42299999798314</v>
      </c>
      <c r="C115" s="299" t="str">
        <f>CONCATENATE("(",ROUND((B115/$H116)*100,1),")")</f>
        <v>(15.5)</v>
      </c>
      <c r="D115" s="302">
        <f>'Ind T6'!M154</f>
        <v>75.219000001037642</v>
      </c>
      <c r="E115" s="299" t="str">
        <f>CONCATENATE("(",ROUND((D115/$H116)*100,1),")")</f>
        <v>(5)</v>
      </c>
      <c r="F115" s="302">
        <f>'Ind T6'!N154</f>
        <v>36.762999999537314</v>
      </c>
      <c r="G115" s="299" t="str">
        <f>CONCATENATE("(",ROUND((F115/$H116)*100,1),")")</f>
        <v>(2.4)</v>
      </c>
      <c r="H115" s="302">
        <f t="shared" ref="H115" si="96">SUM(B115,D115,F115)</f>
        <v>347.40499999855808</v>
      </c>
      <c r="I115" s="299" t="str">
        <f>CONCATENATE("(",ROUND((H115/$H116)*100,1),")")</f>
        <v>(22.9)</v>
      </c>
      <c r="K115" s="302">
        <f t="shared" ref="K115:K116" si="97">B120-B115</f>
        <v>-11.361999993361451</v>
      </c>
      <c r="L115" s="302">
        <f t="shared" ref="L115:L116" si="98">D120-D115</f>
        <v>-4.525999999719474</v>
      </c>
      <c r="M115" s="302">
        <f t="shared" ref="M115:M116" si="99">F120-F115</f>
        <v>-3.5899999994699527</v>
      </c>
      <c r="N115" s="302">
        <f t="shared" ref="N115:N116" si="100">SUM(K115:M115)</f>
        <v>-19.477999992550878</v>
      </c>
    </row>
    <row r="116" spans="1:14" x14ac:dyDescent="0.3">
      <c r="A116" s="282" t="s">
        <v>354</v>
      </c>
      <c r="B116" s="302">
        <f>SUM(B114:B115)</f>
        <v>1261.5269999965722</v>
      </c>
      <c r="C116" s="299" t="str">
        <f>CONCATENATE("(",ROUND((B116/$H116)*100,1),")")</f>
        <v>(83.1)</v>
      </c>
      <c r="D116" s="302">
        <f>SUM(D114:D115)</f>
        <v>132.46800000111628</v>
      </c>
      <c r="E116" s="299" t="str">
        <f>CONCATENATE("(",ROUND((D116/$H116)*100,1),")")</f>
        <v>(8.7)</v>
      </c>
      <c r="F116" s="302">
        <f>SUM(F114:F115)</f>
        <v>124.44999999926523</v>
      </c>
      <c r="G116" s="299" t="str">
        <f>CONCATENATE("(",ROUND((F116/$H116)*100,1),")")</f>
        <v>(8.2)</v>
      </c>
      <c r="H116" s="302">
        <f>SUM(H114:H115)</f>
        <v>1518.4449999969538</v>
      </c>
      <c r="I116" s="299" t="str">
        <f>CONCATENATE("(",ROUND((H116/$H116)*100,1),")")</f>
        <v>(100)</v>
      </c>
      <c r="K116" s="302">
        <f t="shared" si="97"/>
        <v>-71.04899999103759</v>
      </c>
      <c r="L116" s="302">
        <f t="shared" si="98"/>
        <v>-8.1189999998034921</v>
      </c>
      <c r="M116" s="302">
        <f t="shared" si="99"/>
        <v>-9.3510000000965618</v>
      </c>
      <c r="N116" s="302">
        <f t="shared" si="100"/>
        <v>-88.518999990937644</v>
      </c>
    </row>
    <row r="117" spans="1:14" x14ac:dyDescent="0.3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3">
      <c r="A119" s="282" t="s">
        <v>355</v>
      </c>
      <c r="B119" s="302">
        <f>'Ind T6'!Q155</f>
        <v>966.41700000091282</v>
      </c>
      <c r="C119" s="299" t="str">
        <f>CONCATENATE("(",ROUND((B119/$H121)*100,1),")")</f>
        <v>(67.6)</v>
      </c>
      <c r="D119" s="302">
        <f>'Ind T6'!R155</f>
        <v>53.65599999999462</v>
      </c>
      <c r="E119" s="299" t="str">
        <f>CONCATENATE("(",ROUND((D119/$H121)*100,1),")")</f>
        <v>(3.8)</v>
      </c>
      <c r="F119" s="302">
        <f>'Ind T6'!S155</f>
        <v>81.925999999101307</v>
      </c>
      <c r="G119" s="299" t="str">
        <f>CONCATENATE("(",ROUND((F119/$H121)*100,1),")")</f>
        <v>(5.7)</v>
      </c>
      <c r="H119" s="302">
        <f>SUM(B119,D119,F119)</f>
        <v>1101.9990000000087</v>
      </c>
      <c r="I119" s="299" t="str">
        <f>CONCATENATE("(",ROUND((H119/$H121)*100,1),")")</f>
        <v>(77.1)</v>
      </c>
      <c r="K119" s="302">
        <f>B124-B119</f>
        <v>-89.371000000679032</v>
      </c>
      <c r="L119" s="302">
        <f>D124-D119</f>
        <v>-4.6019999999553036</v>
      </c>
      <c r="M119" s="302">
        <f>F124-F119</f>
        <v>-4.6159999995708887</v>
      </c>
      <c r="N119" s="302">
        <f>SUM(K119:M119)</f>
        <v>-98.589000000205218</v>
      </c>
    </row>
    <row r="120" spans="1:14" x14ac:dyDescent="0.3">
      <c r="A120" s="282" t="s">
        <v>356</v>
      </c>
      <c r="B120" s="302">
        <f>'Ind T6'!Q154</f>
        <v>224.06100000462169</v>
      </c>
      <c r="C120" s="299" t="str">
        <f>CONCATENATE("(",ROUND((B120/$H121)*100,1),")")</f>
        <v>(15.7)</v>
      </c>
      <c r="D120" s="302">
        <f>'Ind T6'!R154</f>
        <v>70.693000001318168</v>
      </c>
      <c r="E120" s="299" t="str">
        <f>CONCATENATE("(",ROUND((D120/$H121)*100,1),")")</f>
        <v>(4.9)</v>
      </c>
      <c r="F120" s="302">
        <f>'Ind T6'!S154</f>
        <v>33.173000000067361</v>
      </c>
      <c r="G120" s="299" t="str">
        <f>CONCATENATE("(",ROUND((F120/$H121)*100,1),")")</f>
        <v>(2.3)</v>
      </c>
      <c r="H120" s="302">
        <f t="shared" ref="H120" si="101">SUM(B120,D120,F120)</f>
        <v>327.92700000600723</v>
      </c>
      <c r="I120" s="299" t="str">
        <f>CONCATENATE("(",ROUND((H120/$H121)*100,1),")")</f>
        <v>(22.9)</v>
      </c>
      <c r="K120" s="302">
        <f t="shared" ref="K120:K121" si="102">B125-B120</f>
        <v>-15.101000004187199</v>
      </c>
      <c r="L120" s="302">
        <f t="shared" ref="L120:L121" si="103">D125-D120</f>
        <v>-5.6210000018003257</v>
      </c>
      <c r="M120" s="302">
        <f t="shared" ref="M120:M121" si="104">F125-F120</f>
        <v>-3.7229999998812211</v>
      </c>
      <c r="N120" s="302">
        <f t="shared" ref="N120:N121" si="105">SUM(K120:M120)</f>
        <v>-24.445000005868746</v>
      </c>
    </row>
    <row r="121" spans="1:14" x14ac:dyDescent="0.3">
      <c r="A121" s="282" t="s">
        <v>354</v>
      </c>
      <c r="B121" s="302">
        <f>SUM(B119:B120)</f>
        <v>1190.4780000055346</v>
      </c>
      <c r="C121" s="299" t="str">
        <f>CONCATENATE("(",ROUND((B121/$H121)*100,1),")")</f>
        <v>(83.3)</v>
      </c>
      <c r="D121" s="302">
        <f>SUM(D119:D120)</f>
        <v>124.34900000131279</v>
      </c>
      <c r="E121" s="299" t="str">
        <f>CONCATENATE("(",ROUND((D121/$H121)*100,1),")")</f>
        <v>(8.7)</v>
      </c>
      <c r="F121" s="302">
        <f>SUM(F119:F120)</f>
        <v>115.09899999916867</v>
      </c>
      <c r="G121" s="299" t="str">
        <f>CONCATENATE("(",ROUND((F121/$H121)*100,1),")")</f>
        <v>(8)</v>
      </c>
      <c r="H121" s="302">
        <f>SUM(H119:H120)</f>
        <v>1429.9260000060158</v>
      </c>
      <c r="I121" s="299" t="str">
        <f>CONCATENATE("(",ROUND((H121/$H121)*100,1),")")</f>
        <v>(100)</v>
      </c>
      <c r="K121" s="302">
        <f t="shared" si="102"/>
        <v>-104.47200000486623</v>
      </c>
      <c r="L121" s="302">
        <f t="shared" si="103"/>
        <v>-10.223000001755622</v>
      </c>
      <c r="M121" s="302">
        <f t="shared" si="104"/>
        <v>-8.3389999994521133</v>
      </c>
      <c r="N121" s="302">
        <f t="shared" si="105"/>
        <v>-123.03400000607397</v>
      </c>
    </row>
    <row r="122" spans="1:14" x14ac:dyDescent="0.3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3">
      <c r="A124" s="282" t="s">
        <v>355</v>
      </c>
      <c r="B124" s="302">
        <f>'Ind T6'!V155</f>
        <v>877.04600000023379</v>
      </c>
      <c r="C124" s="299" t="str">
        <f>CONCATENATE("(",ROUND((B124/$H126)*100,1),")")</f>
        <v>(67.1)</v>
      </c>
      <c r="D124" s="302">
        <f>'Ind T6'!W155</f>
        <v>49.054000000039316</v>
      </c>
      <c r="E124" s="299" t="str">
        <f>CONCATENATE("(",ROUND((D124/$H126)*100,1),")")</f>
        <v>(3.8)</v>
      </c>
      <c r="F124" s="302">
        <f>'Ind T6'!X155</f>
        <v>77.309999999530419</v>
      </c>
      <c r="G124" s="299" t="str">
        <f>CONCATENATE("(",ROUND((F124/$H126)*100,1),")")</f>
        <v>(5.9)</v>
      </c>
      <c r="H124" s="302">
        <f>SUM(B124,D124,F124)</f>
        <v>1003.4099999998035</v>
      </c>
      <c r="I124" s="299" t="str">
        <f>CONCATENATE("(",ROUND((H124/$H126)*100,1),")")</f>
        <v>(76.8)</v>
      </c>
      <c r="K124" s="302">
        <f>B124-B114</f>
        <v>-149.05799999835517</v>
      </c>
      <c r="L124" s="302">
        <f>D124-D114</f>
        <v>-8.1950000000393217</v>
      </c>
      <c r="M124" s="302">
        <f>F124-F114</f>
        <v>-10.377000000197498</v>
      </c>
      <c r="N124" s="302">
        <f>SUM(K124:M124)</f>
        <v>-167.62999999859198</v>
      </c>
    </row>
    <row r="125" spans="1:14" x14ac:dyDescent="0.3">
      <c r="A125" s="282" t="s">
        <v>356</v>
      </c>
      <c r="B125" s="302">
        <f>'Ind T6'!V154</f>
        <v>208.96000000043449</v>
      </c>
      <c r="C125" s="299" t="str">
        <f>CONCATENATE("(",ROUND((B125/$H126)*100,1),")")</f>
        <v>(16)</v>
      </c>
      <c r="D125" s="302">
        <f>'Ind T6'!W154</f>
        <v>65.071999999517843</v>
      </c>
      <c r="E125" s="299" t="str">
        <f>CONCATENATE("(",ROUND((D125/$H126)*100,1),")")</f>
        <v>(5)</v>
      </c>
      <c r="F125" s="302">
        <f>'Ind T6'!X154</f>
        <v>29.45000000018614</v>
      </c>
      <c r="G125" s="299" t="str">
        <f>CONCATENATE("(",ROUND((F125/$H126)*100,1),")")</f>
        <v>(2.3)</v>
      </c>
      <c r="H125" s="302">
        <f t="shared" ref="H125" si="106">SUM(B125,D125,F125)</f>
        <v>303.4820000001385</v>
      </c>
      <c r="I125" s="299" t="str">
        <f>CONCATENATE("(",ROUND((H125/$H126)*100,1),")")</f>
        <v>(23.2)</v>
      </c>
      <c r="K125" s="302">
        <f t="shared" ref="K125:K126" si="107">B125-B115</f>
        <v>-26.46299999754865</v>
      </c>
      <c r="L125" s="302">
        <f t="shared" ref="L125:L126" si="108">D125-D115</f>
        <v>-10.1470000015198</v>
      </c>
      <c r="M125" s="302">
        <f t="shared" ref="M125:M126" si="109">F125-F115</f>
        <v>-7.3129999993511738</v>
      </c>
      <c r="N125" s="302">
        <f t="shared" ref="N125:N126" si="110">SUM(K125:M125)</f>
        <v>-43.922999998419627</v>
      </c>
    </row>
    <row r="126" spans="1:14" x14ac:dyDescent="0.3">
      <c r="A126" s="282" t="s">
        <v>354</v>
      </c>
      <c r="B126" s="302">
        <f>SUM(B124:B125)</f>
        <v>1086.0060000006683</v>
      </c>
      <c r="C126" s="299" t="str">
        <f>CONCATENATE("(",ROUND((B126/$H126)*100,1),")")</f>
        <v>(83.1)</v>
      </c>
      <c r="D126" s="302">
        <f>SUM(D124:D125)</f>
        <v>114.12599999955717</v>
      </c>
      <c r="E126" s="299" t="str">
        <f>CONCATENATE("(",ROUND((D126/$H126)*100,1),")")</f>
        <v>(8.7)</v>
      </c>
      <c r="F126" s="302">
        <f>SUM(F124:F125)</f>
        <v>106.75999999971656</v>
      </c>
      <c r="G126" s="299" t="str">
        <f>CONCATENATE("(",ROUND((F126/$H126)*100,1),")")</f>
        <v>(8.2)</v>
      </c>
      <c r="H126" s="302">
        <f>SUM(H124:H125)</f>
        <v>1306.8919999999421</v>
      </c>
      <c r="I126" s="299" t="str">
        <f>CONCATENATE("(",ROUND((H126/$H126)*100,1),")")</f>
        <v>(100)</v>
      </c>
      <c r="K126" s="302">
        <f t="shared" si="107"/>
        <v>-175.52099999590382</v>
      </c>
      <c r="L126" s="302">
        <f t="shared" si="108"/>
        <v>-18.342000001559114</v>
      </c>
      <c r="M126" s="302">
        <f t="shared" si="109"/>
        <v>-17.689999999548675</v>
      </c>
      <c r="N126" s="302">
        <f t="shared" si="110"/>
        <v>-211.55299999701163</v>
      </c>
    </row>
    <row r="127" spans="1:14" x14ac:dyDescent="0.3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3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3">
      <c r="N132" s="287" t="s">
        <v>377</v>
      </c>
    </row>
    <row r="133" spans="1:14" x14ac:dyDescent="0.3">
      <c r="A133" s="181" t="s">
        <v>378</v>
      </c>
      <c r="B133" s="370" t="s">
        <v>376</v>
      </c>
      <c r="C133" s="370"/>
      <c r="D133" s="370" t="s">
        <v>375</v>
      </c>
      <c r="E133" s="370"/>
      <c r="F133" s="370" t="s">
        <v>374</v>
      </c>
      <c r="G133" s="370"/>
      <c r="H133" s="370" t="s">
        <v>32</v>
      </c>
      <c r="I133" s="370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3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3">
      <c r="A135" s="282" t="s">
        <v>355</v>
      </c>
      <c r="B135" s="302">
        <f>'Ind T6'!L165</f>
        <v>78.405999999480784</v>
      </c>
      <c r="C135" s="299" t="str">
        <f>CONCATENATE("(",ROUND((B135/$H137)*100,1),")")</f>
        <v>(66)</v>
      </c>
      <c r="D135" s="302">
        <f>'Ind T6'!M165</f>
        <v>1.6989999999986098</v>
      </c>
      <c r="E135" s="299" t="str">
        <f>CONCATENATE("(",ROUND((D135/$H137)*100,1),")")</f>
        <v>(1.4)</v>
      </c>
      <c r="F135" s="302">
        <f>'Ind T6'!N165</f>
        <v>4.6020000000052805</v>
      </c>
      <c r="G135" s="299" t="str">
        <f>CONCATENATE("(",ROUND((F135/$H137)*100,1),")")</f>
        <v>(3.9)</v>
      </c>
      <c r="H135" s="302">
        <f>SUM(B135,D135,F135)</f>
        <v>84.706999999484665</v>
      </c>
      <c r="I135" s="299" t="str">
        <f>CONCATENATE("(",ROUND((H135/$H137)*100,1),")")</f>
        <v>(71.3)</v>
      </c>
      <c r="K135" s="302">
        <f>B140-B135</f>
        <v>-3.3289999995446351</v>
      </c>
      <c r="L135" s="302">
        <f>D140-D135</f>
        <v>-4.6999999995836594E-2</v>
      </c>
      <c r="M135" s="302">
        <f>F140-F135</f>
        <v>-0.12699999993841082</v>
      </c>
      <c r="N135" s="302">
        <f>SUM(K135:M135)</f>
        <v>-3.5029999994788827</v>
      </c>
    </row>
    <row r="136" spans="1:14" x14ac:dyDescent="0.3">
      <c r="A136" s="282" t="s">
        <v>356</v>
      </c>
      <c r="B136" s="302">
        <f>'Ind T6'!L164</f>
        <v>25.344999999890792</v>
      </c>
      <c r="C136" s="299" t="str">
        <f>CONCATENATE("(",ROUND((B136/$H137)*100,1),")")</f>
        <v>(21.3)</v>
      </c>
      <c r="D136" s="302">
        <f>'Ind T6'!M164</f>
        <v>6.6830000001102805</v>
      </c>
      <c r="E136" s="299" t="str">
        <f>CONCATENATE("(",ROUND((D136/$H137)*100,1),")")</f>
        <v>(5.6)</v>
      </c>
      <c r="F136" s="302">
        <f>'Ind T6'!N164</f>
        <v>1.9959999999930995</v>
      </c>
      <c r="G136" s="299" t="str">
        <f>CONCATENATE("(",ROUND((F136/$H137)*100,1),")")</f>
        <v>(1.7)</v>
      </c>
      <c r="H136" s="302">
        <f t="shared" ref="H136" si="111">SUM(B136,D136,F136)</f>
        <v>34.023999999994174</v>
      </c>
      <c r="I136" s="299" t="str">
        <f>CONCATENATE("(",ROUND((H136/$H137)*100,1),")")</f>
        <v>(28.7)</v>
      </c>
      <c r="K136" s="302">
        <f t="shared" ref="K136:K137" si="112">B141-B136</f>
        <v>-0.65999999925984554</v>
      </c>
      <c r="L136" s="302">
        <f t="shared" ref="L136:L137" si="113">D141-D136</f>
        <v>-0.2449999999140946</v>
      </c>
      <c r="M136" s="302">
        <f t="shared" ref="M136:M137" si="114">F141-F136</f>
        <v>-7.3999999973601183E-2</v>
      </c>
      <c r="N136" s="302">
        <f t="shared" ref="N136:N137" si="115">SUM(K136:M136)</f>
        <v>-0.97899999914754132</v>
      </c>
    </row>
    <row r="137" spans="1:14" x14ac:dyDescent="0.3">
      <c r="A137" s="282" t="s">
        <v>354</v>
      </c>
      <c r="B137" s="302">
        <f>SUM(B135:B136)</f>
        <v>103.75099999937157</v>
      </c>
      <c r="C137" s="299" t="str">
        <f>CONCATENATE("(",ROUND((B137/$H137)*100,1),")")</f>
        <v>(87.4)</v>
      </c>
      <c r="D137" s="302">
        <f>SUM(D135:D136)</f>
        <v>8.3820000001088903</v>
      </c>
      <c r="E137" s="299" t="str">
        <f>CONCATENATE("(",ROUND((D137/$H137)*100,1),")")</f>
        <v>(7.1)</v>
      </c>
      <c r="F137" s="302">
        <f>SUM(F135:F136)</f>
        <v>6.5979999999983798</v>
      </c>
      <c r="G137" s="299" t="str">
        <f>CONCATENATE("(",ROUND((F137/$H137)*100,1),")")</f>
        <v>(5.6)</v>
      </c>
      <c r="H137" s="302">
        <f>SUM(H135:H136)</f>
        <v>118.73099999947884</v>
      </c>
      <c r="I137" s="299" t="str">
        <f>CONCATENATE("(",ROUND((H137/$H137)*100,1),")")</f>
        <v>(100)</v>
      </c>
      <c r="K137" s="302">
        <f t="shared" si="112"/>
        <v>-3.9889999988044735</v>
      </c>
      <c r="L137" s="302">
        <f t="shared" si="113"/>
        <v>-0.29199999990993142</v>
      </c>
      <c r="M137" s="302">
        <f t="shared" si="114"/>
        <v>-0.20099999991201134</v>
      </c>
      <c r="N137" s="302">
        <f t="shared" si="115"/>
        <v>-4.4819999986264163</v>
      </c>
    </row>
    <row r="138" spans="1:14" x14ac:dyDescent="0.3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3">
      <c r="A140" s="282" t="s">
        <v>355</v>
      </c>
      <c r="B140" s="302">
        <f>'Ind T6'!Q165</f>
        <v>75.076999999936149</v>
      </c>
      <c r="C140" s="299" t="str">
        <f>CONCATENATE("(",ROUND((B140/$H142)*100,1),")")</f>
        <v>(65.7)</v>
      </c>
      <c r="D140" s="302">
        <f>'Ind T6'!R165</f>
        <v>1.6520000000027733</v>
      </c>
      <c r="E140" s="299" t="str">
        <f>CONCATENATE("(",ROUND((D140/$H142)*100,1),")")</f>
        <v>(1.4)</v>
      </c>
      <c r="F140" s="302">
        <f>'Ind T6'!S165</f>
        <v>4.4750000000668697</v>
      </c>
      <c r="G140" s="299" t="str">
        <f>CONCATENATE("(",ROUND((F140/$H142)*100,1),")")</f>
        <v>(3.9)</v>
      </c>
      <c r="H140" s="302">
        <f>SUM(B140,D140,F140)</f>
        <v>81.204000000005792</v>
      </c>
      <c r="I140" s="299" t="str">
        <f>CONCATENATE("(",ROUND((H140/$H142)*100,1),")")</f>
        <v>(71.1)</v>
      </c>
      <c r="K140" s="302">
        <f>B145-B140</f>
        <v>-1.2260000001946594</v>
      </c>
      <c r="L140" s="302">
        <f>D145-D140</f>
        <v>2.900000000228542E-2</v>
      </c>
      <c r="M140" s="302">
        <f>F145-F140</f>
        <v>5.6999999994220119E-2</v>
      </c>
      <c r="N140" s="302">
        <f>SUM(K140:M140)</f>
        <v>-1.1400000001981538</v>
      </c>
    </row>
    <row r="141" spans="1:14" x14ac:dyDescent="0.3">
      <c r="A141" s="282" t="s">
        <v>356</v>
      </c>
      <c r="B141" s="302">
        <f>'Ind T6'!Q164</f>
        <v>24.685000000630946</v>
      </c>
      <c r="C141" s="299" t="str">
        <f>CONCATENATE("(",ROUND((B141/$H142)*100,1),")")</f>
        <v>(21.6)</v>
      </c>
      <c r="D141" s="302">
        <f>'Ind T6'!R164</f>
        <v>6.4380000001961859</v>
      </c>
      <c r="E141" s="299" t="str">
        <f>CONCATENATE("(",ROUND((D141/$H142)*100,1),")")</f>
        <v>(5.6)</v>
      </c>
      <c r="F141" s="302">
        <f>'Ind T6'!S164</f>
        <v>1.9220000000194983</v>
      </c>
      <c r="G141" s="299" t="str">
        <f>CONCATENATE("(",ROUND((F141/$H142)*100,1),")")</f>
        <v>(1.7)</v>
      </c>
      <c r="H141" s="302">
        <f t="shared" ref="H141" si="116">SUM(B141,D141,F141)</f>
        <v>33.045000000846635</v>
      </c>
      <c r="I141" s="299" t="str">
        <f>CONCATENATE("(",ROUND((H141/$H142)*100,1),")")</f>
        <v>(28.9)</v>
      </c>
      <c r="K141" s="302">
        <f t="shared" ref="K141:K142" si="117">B146-B141</f>
        <v>0.41999999913805297</v>
      </c>
      <c r="L141" s="302">
        <f t="shared" ref="L141:L142" si="118">D146-D141</f>
        <v>-2.700000026130045E-2</v>
      </c>
      <c r="M141" s="302">
        <f t="shared" ref="M141:M142" si="119">F146-F141</f>
        <v>-7.9999999300299773E-3</v>
      </c>
      <c r="N141" s="302">
        <f t="shared" ref="N141:N142" si="120">SUM(K141:M141)</f>
        <v>0.38499999894672254</v>
      </c>
    </row>
    <row r="142" spans="1:14" x14ac:dyDescent="0.3">
      <c r="A142" s="282" t="s">
        <v>354</v>
      </c>
      <c r="B142" s="302">
        <f>SUM(B140:B141)</f>
        <v>99.762000000567099</v>
      </c>
      <c r="C142" s="299" t="str">
        <f>CONCATENATE("(",ROUND((B142/$H142)*100,1),")")</f>
        <v>(87.3)</v>
      </c>
      <c r="D142" s="302">
        <f>SUM(D140:D141)</f>
        <v>8.0900000001989589</v>
      </c>
      <c r="E142" s="299" t="str">
        <f>CONCATENATE("(",ROUND((D142/$H142)*100,1),")")</f>
        <v>(7.1)</v>
      </c>
      <c r="F142" s="302">
        <f>SUM(F140:F141)</f>
        <v>6.3970000000863685</v>
      </c>
      <c r="G142" s="299" t="str">
        <f>CONCATENATE("(",ROUND((F142/$H142)*100,1),")")</f>
        <v>(5.6)</v>
      </c>
      <c r="H142" s="302">
        <f>SUM(H140:H141)</f>
        <v>114.24900000085242</v>
      </c>
      <c r="I142" s="299" t="str">
        <f>CONCATENATE("(",ROUND((H142/$H142)*100,1),")")</f>
        <v>(100)</v>
      </c>
      <c r="K142" s="302">
        <f t="shared" si="117"/>
        <v>-0.80600000105661707</v>
      </c>
      <c r="L142" s="302">
        <f t="shared" si="118"/>
        <v>1.9999997409847481E-3</v>
      </c>
      <c r="M142" s="302">
        <f t="shared" si="119"/>
        <v>4.9000000064189919E-2</v>
      </c>
      <c r="N142" s="302">
        <f t="shared" si="120"/>
        <v>-0.7550000012514424</v>
      </c>
    </row>
    <row r="143" spans="1:14" x14ac:dyDescent="0.3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3">
      <c r="A145" s="282" t="s">
        <v>355</v>
      </c>
      <c r="B145" s="302">
        <f>'Ind T6'!V165</f>
        <v>73.850999999741489</v>
      </c>
      <c r="C145" s="299" t="str">
        <f>CONCATENATE("(",ROUND((B145/$H147)*100,1),")")</f>
        <v>(65.1)</v>
      </c>
      <c r="D145" s="302">
        <f>'Ind T6'!W165</f>
        <v>1.6810000000050587</v>
      </c>
      <c r="E145" s="299" t="str">
        <f>CONCATENATE("(",ROUND((D145/$H147)*100,1),")")</f>
        <v>(1.5)</v>
      </c>
      <c r="F145" s="302">
        <f>'Ind T6'!X165</f>
        <v>4.5320000000610898</v>
      </c>
      <c r="G145" s="299" t="str">
        <f>CONCATENATE("(",ROUND((F145/$H147)*100,1),")")</f>
        <v>(4)</v>
      </c>
      <c r="H145" s="302">
        <f>SUM(B145,D145,F145)</f>
        <v>80.063999999807635</v>
      </c>
      <c r="I145" s="299" t="str">
        <f>CONCATENATE("(",ROUND((H145/$H147)*100,1),")")</f>
        <v>(70.5)</v>
      </c>
      <c r="K145" s="302">
        <f>B145-B135</f>
        <v>-4.5549999997392945</v>
      </c>
      <c r="L145" s="302">
        <f>D145-D135</f>
        <v>-1.7999999993551175E-2</v>
      </c>
      <c r="M145" s="302">
        <f>F145-F135</f>
        <v>-6.9999999944190705E-2</v>
      </c>
      <c r="N145" s="302">
        <f>SUM(K145:M145)</f>
        <v>-4.6429999996770359</v>
      </c>
    </row>
    <row r="146" spans="1:14" x14ac:dyDescent="0.3">
      <c r="A146" s="282" t="s">
        <v>356</v>
      </c>
      <c r="B146" s="302">
        <f>'Ind T6'!V164</f>
        <v>25.104999999768999</v>
      </c>
      <c r="C146" s="299" t="str">
        <f>CONCATENATE("(",ROUND((B146/$H147)*100,1),")")</f>
        <v>(22.1)</v>
      </c>
      <c r="D146" s="302">
        <f>'Ind T6'!W164</f>
        <v>6.4109999999348855</v>
      </c>
      <c r="E146" s="299" t="str">
        <f>CONCATENATE("(",ROUND((D146/$H147)*100,1),")")</f>
        <v>(5.6)</v>
      </c>
      <c r="F146" s="302">
        <f>'Ind T6'!X164</f>
        <v>1.9140000000894684</v>
      </c>
      <c r="G146" s="299" t="str">
        <f>CONCATENATE("(",ROUND((F146/$H147)*100,1),")")</f>
        <v>(1.7)</v>
      </c>
      <c r="H146" s="302">
        <f t="shared" ref="H146" si="121">SUM(B146,D146,F146)</f>
        <v>33.429999999793353</v>
      </c>
      <c r="I146" s="299" t="str">
        <f>CONCATENATE("(",ROUND((H146/$H147)*100,1),")")</f>
        <v>(29.5)</v>
      </c>
      <c r="K146" s="302">
        <f t="shared" ref="K146:K147" si="122">B146-B136</f>
        <v>-0.24000000012179257</v>
      </c>
      <c r="L146" s="302">
        <f t="shared" ref="L146:L147" si="123">D146-D136</f>
        <v>-0.27200000017539505</v>
      </c>
      <c r="M146" s="302">
        <f t="shared" ref="M146:M147" si="124">F146-F136</f>
        <v>-8.199999990363116E-2</v>
      </c>
      <c r="N146" s="302">
        <f t="shared" ref="N146:N147" si="125">SUM(K146:M146)</f>
        <v>-0.59400000020081878</v>
      </c>
    </row>
    <row r="147" spans="1:14" x14ac:dyDescent="0.3">
      <c r="A147" s="282" t="s">
        <v>354</v>
      </c>
      <c r="B147" s="302">
        <f>SUM(B145:B146)</f>
        <v>98.955999999510482</v>
      </c>
      <c r="C147" s="299" t="str">
        <f>CONCATENATE("(",ROUND((B147/$H147)*100,1),")")</f>
        <v>(87.2)</v>
      </c>
      <c r="D147" s="302">
        <f>SUM(D145:D146)</f>
        <v>8.0919999999399437</v>
      </c>
      <c r="E147" s="299" t="str">
        <f>CONCATENATE("(",ROUND((D147/$H147)*100,1),")")</f>
        <v>(7.1)</v>
      </c>
      <c r="F147" s="302">
        <f>SUM(F145:F146)</f>
        <v>6.4460000001505584</v>
      </c>
      <c r="G147" s="299" t="str">
        <f>CONCATENATE("(",ROUND((F147/$H147)*100,1),")")</f>
        <v>(5.7)</v>
      </c>
      <c r="H147" s="302">
        <f>SUM(H145:H146)</f>
        <v>113.49399999960099</v>
      </c>
      <c r="I147" s="299" t="str">
        <f>CONCATENATE("(",ROUND((H147/$H147)*100,1),")")</f>
        <v>(100)</v>
      </c>
      <c r="K147" s="302">
        <f t="shared" si="122"/>
        <v>-4.7949999998610906</v>
      </c>
      <c r="L147" s="302">
        <f t="shared" si="123"/>
        <v>-0.29000000016894667</v>
      </c>
      <c r="M147" s="302">
        <f t="shared" si="124"/>
        <v>-0.15199999984782142</v>
      </c>
      <c r="N147" s="302">
        <f t="shared" si="125"/>
        <v>-5.2369999998778587</v>
      </c>
    </row>
    <row r="148" spans="1:14" x14ac:dyDescent="0.3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3">
      <c r="C151" s="181"/>
      <c r="E151" s="181"/>
      <c r="G151" s="181"/>
      <c r="I151" s="181"/>
    </row>
    <row r="152" spans="1:14" x14ac:dyDescent="0.3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3">
      <c r="N153" s="287" t="s">
        <v>377</v>
      </c>
    </row>
    <row r="154" spans="1:14" x14ac:dyDescent="0.3">
      <c r="A154" s="181" t="s">
        <v>378</v>
      </c>
      <c r="B154" s="370" t="s">
        <v>376</v>
      </c>
      <c r="C154" s="370"/>
      <c r="D154" s="370" t="s">
        <v>375</v>
      </c>
      <c r="E154" s="370"/>
      <c r="F154" s="370" t="s">
        <v>374</v>
      </c>
      <c r="G154" s="370"/>
      <c r="H154" s="370" t="s">
        <v>32</v>
      </c>
      <c r="I154" s="370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3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3">
      <c r="A156" s="282" t="s">
        <v>355</v>
      </c>
      <c r="B156" s="302">
        <f>'Ind T6'!L190</f>
        <v>114.9840000001042</v>
      </c>
      <c r="C156" s="299" t="str">
        <f>CONCATENATE("(",ROUND((B156/$H158)*100,1),")")</f>
        <v>(67)</v>
      </c>
      <c r="D156" s="302">
        <f>'Ind T6'!M190</f>
        <v>10.29499999995679</v>
      </c>
      <c r="E156" s="299" t="str">
        <f>CONCATENATE("(",ROUND((D156/$H158)*100,1),")")</f>
        <v>(6)</v>
      </c>
      <c r="F156" s="302">
        <f>'Ind T6'!N190</f>
        <v>5.8199999999251233</v>
      </c>
      <c r="G156" s="299" t="str">
        <f>CONCATENATE("(",ROUND((F156/$H158)*100,1),")")</f>
        <v>(3.4)</v>
      </c>
      <c r="H156" s="302">
        <f>SUM(B156,D156,F156)</f>
        <v>131.09899999998612</v>
      </c>
      <c r="I156" s="299" t="str">
        <f>CONCATENATE("(",ROUND((H156/$H158)*100,1),")")</f>
        <v>(76.4)</v>
      </c>
      <c r="K156" s="302">
        <f>B161-B156</f>
        <v>4.9300000003236164</v>
      </c>
      <c r="L156" s="302">
        <f>D161-D156</f>
        <v>0.53900000002918524</v>
      </c>
      <c r="M156" s="302">
        <f>F161-F156</f>
        <v>9.6999999922290137E-2</v>
      </c>
      <c r="N156" s="302">
        <f>SUM(K156:M156)</f>
        <v>5.5660000002750918</v>
      </c>
    </row>
    <row r="157" spans="1:14" x14ac:dyDescent="0.3">
      <c r="A157" s="282" t="s">
        <v>356</v>
      </c>
      <c r="B157" s="302">
        <f>'Ind T6'!L189</f>
        <v>28.013999999798457</v>
      </c>
      <c r="C157" s="299" t="str">
        <f>CONCATENATE("(",ROUND((B157/$H158)*100,1),")")</f>
        <v>(16.3)</v>
      </c>
      <c r="D157" s="302">
        <f>'Ind T6'!M189</f>
        <v>11.782000000050783</v>
      </c>
      <c r="E157" s="299" t="str">
        <f>CONCATENATE("(",ROUND((D157/$H158)*100,1),")")</f>
        <v>(6.9)</v>
      </c>
      <c r="F157" s="302">
        <f>'Ind T6'!N189</f>
        <v>0.71799999999296626</v>
      </c>
      <c r="G157" s="299" t="str">
        <f>CONCATENATE("(",ROUND((F157/$H158)*100,1),")")</f>
        <v>(0.4)</v>
      </c>
      <c r="H157" s="302">
        <f t="shared" ref="H157" si="126">SUM(B157,D157,F157)</f>
        <v>40.513999999842213</v>
      </c>
      <c r="I157" s="299" t="str">
        <f>CONCATENATE("(",ROUND((H157/$H158)*100,1),")")</f>
        <v>(23.6)</v>
      </c>
      <c r="K157" s="302">
        <f t="shared" ref="K157:K158" si="127">B162-B157</f>
        <v>2.4980000007340557</v>
      </c>
      <c r="L157" s="302">
        <f t="shared" ref="L157:L158" si="128">D162-D157</f>
        <v>0.69000000006911044</v>
      </c>
      <c r="M157" s="302">
        <f t="shared" ref="M157:M158" si="129">F162-F157</f>
        <v>2.4000000008388755E-2</v>
      </c>
      <c r="N157" s="302">
        <f t="shared" ref="N157:N158" si="130">SUM(K157:M157)</f>
        <v>3.212000000811555</v>
      </c>
    </row>
    <row r="158" spans="1:14" x14ac:dyDescent="0.3">
      <c r="A158" s="282" t="s">
        <v>354</v>
      </c>
      <c r="B158" s="302">
        <f>SUM(B156:B157)</f>
        <v>142.99799999990267</v>
      </c>
      <c r="C158" s="299" t="str">
        <f>CONCATENATE("(",ROUND((B158/$H158)*100,1),")")</f>
        <v>(83.3)</v>
      </c>
      <c r="D158" s="302">
        <f>SUM(D156:D157)</f>
        <v>22.077000000007573</v>
      </c>
      <c r="E158" s="299" t="str">
        <f>CONCATENATE("(",ROUND((D158/$H158)*100,1),")")</f>
        <v>(12.9)</v>
      </c>
      <c r="F158" s="302">
        <f>SUM(F156:F157)</f>
        <v>6.5379999999180898</v>
      </c>
      <c r="G158" s="299" t="str">
        <f>CONCATENATE("(",ROUND((F158/$H158)*100,1),")")</f>
        <v>(3.8)</v>
      </c>
      <c r="H158" s="302">
        <f>SUM(H156:H157)</f>
        <v>171.61299999982833</v>
      </c>
      <c r="I158" s="299" t="str">
        <f>CONCATENATE("(",ROUND((H158/$H158)*100,1),")")</f>
        <v>(100)</v>
      </c>
      <c r="K158" s="302">
        <f t="shared" si="127"/>
        <v>7.4280000010576543</v>
      </c>
      <c r="L158" s="302">
        <f t="shared" si="128"/>
        <v>1.2290000000982957</v>
      </c>
      <c r="M158" s="302">
        <f t="shared" si="129"/>
        <v>0.120999999930679</v>
      </c>
      <c r="N158" s="302">
        <f t="shared" si="130"/>
        <v>8.7780000010866281</v>
      </c>
    </row>
    <row r="159" spans="1:14" x14ac:dyDescent="0.3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3">
      <c r="A161" s="282" t="s">
        <v>355</v>
      </c>
      <c r="B161" s="302">
        <f>'Ind T6'!Q190</f>
        <v>119.91400000042782</v>
      </c>
      <c r="C161" s="299" t="str">
        <f>CONCATENATE("(",ROUND((B161/$H163)*100,1),")")</f>
        <v>(66.5)</v>
      </c>
      <c r="D161" s="302">
        <f>'Ind T6'!R190</f>
        <v>10.833999999985975</v>
      </c>
      <c r="E161" s="299" t="str">
        <f>CONCATENATE("(",ROUND((D161/$H163)*100,1),")")</f>
        <v>(6)</v>
      </c>
      <c r="F161" s="302">
        <f>'Ind T6'!S190</f>
        <v>5.9169999998474134</v>
      </c>
      <c r="G161" s="299" t="str">
        <f>CONCATENATE("(",ROUND((F161/$H163)*100,1),")")</f>
        <v>(3.3)</v>
      </c>
      <c r="H161" s="302">
        <f>SUM(B161,D161,F161)</f>
        <v>136.66500000026119</v>
      </c>
      <c r="I161" s="299" t="str">
        <f>CONCATENATE("(",ROUND((H161/$H163)*100,1),")")</f>
        <v>(75.8)</v>
      </c>
      <c r="K161" s="302">
        <f>B166-B161</f>
        <v>7.3479999999154302</v>
      </c>
      <c r="L161" s="302">
        <f>D166-D161</f>
        <v>0.80000000004691785</v>
      </c>
      <c r="M161" s="302">
        <f>F166-F161</f>
        <v>5.0000000567580472E-3</v>
      </c>
      <c r="N161" s="302">
        <f>SUM(K161:M161)</f>
        <v>8.1530000000191052</v>
      </c>
    </row>
    <row r="162" spans="1:14" x14ac:dyDescent="0.3">
      <c r="A162" s="282" t="s">
        <v>356</v>
      </c>
      <c r="B162" s="302">
        <f>'Ind T6'!Q189</f>
        <v>30.512000000532513</v>
      </c>
      <c r="C162" s="299" t="str">
        <f>CONCATENATE("(",ROUND((B162/$H163)*100,1),")")</f>
        <v>(16.9)</v>
      </c>
      <c r="D162" s="302">
        <f>'Ind T6'!R189</f>
        <v>12.472000000119893</v>
      </c>
      <c r="E162" s="299" t="str">
        <f>CONCATENATE("(",ROUND((D162/$H163)*100,1),")")</f>
        <v>(6.9)</v>
      </c>
      <c r="F162" s="302">
        <f>'Ind T6'!S189</f>
        <v>0.74200000000135502</v>
      </c>
      <c r="G162" s="299" t="str">
        <f>CONCATENATE("(",ROUND((F162/$H163)*100,1),")")</f>
        <v>(0.4)</v>
      </c>
      <c r="H162" s="302">
        <f t="shared" ref="H162" si="131">SUM(B162,D162,F162)</f>
        <v>43.726000000653762</v>
      </c>
      <c r="I162" s="299" t="str">
        <f>CONCATENATE("(",ROUND((H162/$H163)*100,1),")")</f>
        <v>(24.2)</v>
      </c>
      <c r="K162" s="302">
        <f t="shared" ref="K162:K163" si="132">B167-B162</f>
        <v>4.7299999996625353</v>
      </c>
      <c r="L162" s="302">
        <f t="shared" ref="L162:L163" si="133">D167-D162</f>
        <v>1.1349999998593425</v>
      </c>
      <c r="M162" s="302">
        <f t="shared" ref="M162:M163" si="134">F167-F162</f>
        <v>3.5000000005244503E-2</v>
      </c>
      <c r="N162" s="302">
        <f t="shared" ref="N162:N163" si="135">SUM(K162:M162)</f>
        <v>5.8999999995271226</v>
      </c>
    </row>
    <row r="163" spans="1:14" x14ac:dyDescent="0.3">
      <c r="A163" s="282" t="s">
        <v>354</v>
      </c>
      <c r="B163" s="302">
        <f>SUM(B161:B162)</f>
        <v>150.42600000096033</v>
      </c>
      <c r="C163" s="299" t="str">
        <f>CONCATENATE("(",ROUND((B163/$H163)*100,1),")")</f>
        <v>(83.4)</v>
      </c>
      <c r="D163" s="302">
        <f>SUM(D161:D162)</f>
        <v>23.306000000105868</v>
      </c>
      <c r="E163" s="299" t="str">
        <f>CONCATENATE("(",ROUND((D163/$H163)*100,1),")")</f>
        <v>(12.9)</v>
      </c>
      <c r="F163" s="302">
        <f>SUM(F161:F162)</f>
        <v>6.6589999998487688</v>
      </c>
      <c r="G163" s="299" t="str">
        <f>CONCATENATE("(",ROUND((F163/$H163)*100,1),")")</f>
        <v>(3.7)</v>
      </c>
      <c r="H163" s="302">
        <f>SUM(H161:H162)</f>
        <v>180.39100000091494</v>
      </c>
      <c r="I163" s="299" t="str">
        <f>CONCATENATE("(",ROUND((H163/$H163)*100,1),")")</f>
        <v>(100)</v>
      </c>
      <c r="K163" s="302">
        <f t="shared" si="132"/>
        <v>12.077999999577969</v>
      </c>
      <c r="L163" s="302">
        <f t="shared" si="133"/>
        <v>1.9349999999062604</v>
      </c>
      <c r="M163" s="302">
        <f t="shared" si="134"/>
        <v>4.0000000062001995E-2</v>
      </c>
      <c r="N163" s="302">
        <f t="shared" si="135"/>
        <v>14.05299999954623</v>
      </c>
    </row>
    <row r="164" spans="1:14" x14ac:dyDescent="0.3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3">
      <c r="A166" s="282" t="s">
        <v>355</v>
      </c>
      <c r="B166" s="302">
        <f>'Ind T6'!V190</f>
        <v>127.26200000034325</v>
      </c>
      <c r="C166" s="299" t="str">
        <f>CONCATENATE("(",ROUND((B166/$H168)*100,1),")")</f>
        <v>(65.4)</v>
      </c>
      <c r="D166" s="302">
        <f>'Ind T6'!W190</f>
        <v>11.634000000032893</v>
      </c>
      <c r="E166" s="299" t="str">
        <f>CONCATENATE("(",ROUND((D166/$H168)*100,1),")")</f>
        <v>(6)</v>
      </c>
      <c r="F166" s="302">
        <f>'Ind T6'!X190</f>
        <v>5.9219999999041715</v>
      </c>
      <c r="G166" s="299" t="str">
        <f>CONCATENATE("(",ROUND((F166/$H168)*100,1),")")</f>
        <v>(3)</v>
      </c>
      <c r="H166" s="302">
        <f>SUM(B166,D166,F166)</f>
        <v>144.81800000028031</v>
      </c>
      <c r="I166" s="299" t="str">
        <f>CONCATENATE("(",ROUND((H166/$H168)*100,1),")")</f>
        <v>(74.5)</v>
      </c>
      <c r="K166" s="302">
        <f>B166-B156</f>
        <v>12.278000000239047</v>
      </c>
      <c r="L166" s="302">
        <f>D166-D156</f>
        <v>1.3390000000761031</v>
      </c>
      <c r="M166" s="302">
        <f>F166-F156</f>
        <v>0.10199999997904818</v>
      </c>
      <c r="N166" s="302">
        <f>SUM(K166:M166)</f>
        <v>13.719000000294198</v>
      </c>
    </row>
    <row r="167" spans="1:14" x14ac:dyDescent="0.3">
      <c r="A167" s="282" t="s">
        <v>356</v>
      </c>
      <c r="B167" s="302">
        <f>'Ind T6'!V189</f>
        <v>35.242000000195048</v>
      </c>
      <c r="C167" s="299" t="str">
        <f>CONCATENATE("(",ROUND((B167/$H168)*100,1),")")</f>
        <v>(18.1)</v>
      </c>
      <c r="D167" s="302">
        <f>'Ind T6'!W189</f>
        <v>13.606999999979235</v>
      </c>
      <c r="E167" s="299" t="str">
        <f>CONCATENATE("(",ROUND((D167/$H168)*100,1),")")</f>
        <v>(7)</v>
      </c>
      <c r="F167" s="302">
        <f>'Ind T6'!X189</f>
        <v>0.77700000000659952</v>
      </c>
      <c r="G167" s="299" t="str">
        <f>CONCATENATE("(",ROUND((F167/$H168)*100,1),")")</f>
        <v>(0.4)</v>
      </c>
      <c r="H167" s="302">
        <f t="shared" ref="H167" si="136">SUM(B167,D167,F167)</f>
        <v>49.626000000180888</v>
      </c>
      <c r="I167" s="299" t="str">
        <f>CONCATENATE("(",ROUND((H167/$H168)*100,1),")")</f>
        <v>(25.5)</v>
      </c>
      <c r="K167" s="302">
        <f t="shared" ref="K167:K168" si="137">B167-B157</f>
        <v>7.228000000396591</v>
      </c>
      <c r="L167" s="302">
        <f t="shared" ref="L167:L168" si="138">D167-D157</f>
        <v>1.824999999928453</v>
      </c>
      <c r="M167" s="302">
        <f t="shared" ref="M167:M168" si="139">F167-F157</f>
        <v>5.9000000013633258E-2</v>
      </c>
      <c r="N167" s="302">
        <f t="shared" ref="N167:N168" si="140">SUM(K167:M167)</f>
        <v>9.1120000003386767</v>
      </c>
    </row>
    <row r="168" spans="1:14" x14ac:dyDescent="0.3">
      <c r="A168" s="282" t="s">
        <v>354</v>
      </c>
      <c r="B168" s="302">
        <f>SUM(B166:B167)</f>
        <v>162.5040000005383</v>
      </c>
      <c r="C168" s="299" t="str">
        <f>CONCATENATE("(",ROUND((B168/$H168)*100,1),")")</f>
        <v>(83.6)</v>
      </c>
      <c r="D168" s="302">
        <f>SUM(D166:D167)</f>
        <v>25.241000000012129</v>
      </c>
      <c r="E168" s="299" t="str">
        <f>CONCATENATE("(",ROUND((D168/$H168)*100,1),")")</f>
        <v>(13)</v>
      </c>
      <c r="F168" s="302">
        <f>SUM(F166:F167)</f>
        <v>6.6989999999107708</v>
      </c>
      <c r="G168" s="299" t="str">
        <f>CONCATENATE("(",ROUND((F168/$H168)*100,1),")")</f>
        <v>(3.4)</v>
      </c>
      <c r="H168" s="302">
        <f>SUM(H166:H167)</f>
        <v>194.44400000046119</v>
      </c>
      <c r="I168" s="299" t="str">
        <f>CONCATENATE("(",ROUND((H168/$H168)*100,1),")")</f>
        <v>(100)</v>
      </c>
      <c r="K168" s="302">
        <f t="shared" si="137"/>
        <v>19.506000000635623</v>
      </c>
      <c r="L168" s="302">
        <f t="shared" si="138"/>
        <v>3.1640000000045561</v>
      </c>
      <c r="M168" s="302">
        <f t="shared" si="139"/>
        <v>0.160999999992681</v>
      </c>
      <c r="N168" s="302">
        <f t="shared" si="140"/>
        <v>22.831000000632862</v>
      </c>
    </row>
    <row r="169" spans="1:14" x14ac:dyDescent="0.3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3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3">
      <c r="N174" s="287" t="s">
        <v>377</v>
      </c>
    </row>
    <row r="175" spans="1:14" x14ac:dyDescent="0.3">
      <c r="A175" s="181" t="s">
        <v>378</v>
      </c>
      <c r="B175" s="370" t="s">
        <v>376</v>
      </c>
      <c r="C175" s="370"/>
      <c r="D175" s="370" t="s">
        <v>375</v>
      </c>
      <c r="E175" s="370"/>
      <c r="F175" s="370" t="s">
        <v>374</v>
      </c>
      <c r="G175" s="370"/>
      <c r="H175" s="370" t="s">
        <v>32</v>
      </c>
      <c r="I175" s="370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3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3">
      <c r="A177" s="282" t="s">
        <v>355</v>
      </c>
      <c r="B177" s="302">
        <f>'Ind T6'!L215</f>
        <v>934.13899999942464</v>
      </c>
      <c r="C177" s="299" t="str">
        <f>CONCATENATE("(",ROUND((B177/$H179)*100,1),")")</f>
        <v>(46.7)</v>
      </c>
      <c r="D177" s="302">
        <f>'Ind T6'!M215</f>
        <v>69.881999999879895</v>
      </c>
      <c r="E177" s="299" t="str">
        <f>CONCATENATE("(",ROUND((D177/$H179)*100,1),")")</f>
        <v>(3.5)</v>
      </c>
      <c r="F177" s="302">
        <f>'Ind T6'!N215</f>
        <v>680.71399997605704</v>
      </c>
      <c r="G177" s="299" t="str">
        <f>CONCATENATE("(",ROUND((F177/$H179)*100,1),")")</f>
        <v>(34)</v>
      </c>
      <c r="H177" s="302">
        <f>SUM(B177,D177,F177)</f>
        <v>1684.7349999753615</v>
      </c>
      <c r="I177" s="299" t="str">
        <f>CONCATENATE("(",ROUND((H177/$H179)*100,1),")")</f>
        <v>(84.2)</v>
      </c>
      <c r="K177" s="302">
        <f>B182-B177</f>
        <v>33.301000002053115</v>
      </c>
      <c r="L177" s="302">
        <f>D182-D177</f>
        <v>5.0880000000137073</v>
      </c>
      <c r="M177" s="302">
        <f>F182-F177</f>
        <v>40.56299995100278</v>
      </c>
      <c r="N177" s="302">
        <f>SUM(K177:M177)</f>
        <v>78.951999953069603</v>
      </c>
    </row>
    <row r="178" spans="1:14" x14ac:dyDescent="0.3">
      <c r="A178" s="282" t="s">
        <v>356</v>
      </c>
      <c r="B178" s="302">
        <f>'Ind T6'!L214</f>
        <v>165.64699999811558</v>
      </c>
      <c r="C178" s="299" t="str">
        <f>CONCATENATE("(",ROUND((B178/$H179)*100,1),")")</f>
        <v>(8.3)</v>
      </c>
      <c r="D178" s="302">
        <f>'Ind T6'!M214</f>
        <v>111.00100000060733</v>
      </c>
      <c r="E178" s="299" t="str">
        <f>CONCATENATE("(",ROUND((D178/$H179)*100,1),")")</f>
        <v>(5.6)</v>
      </c>
      <c r="F178" s="302">
        <f>'Ind T6'!N214</f>
        <v>38.411999999594244</v>
      </c>
      <c r="G178" s="299" t="str">
        <f>CONCATENATE("(",ROUND((F178/$H179)*100,1),")")</f>
        <v>(1.9)</v>
      </c>
      <c r="H178" s="302">
        <f t="shared" ref="H178" si="141">SUM(B178,D178,F178)</f>
        <v>315.05999999831715</v>
      </c>
      <c r="I178" s="299" t="str">
        <f>CONCATENATE("(",ROUND((H178/$H179)*100,1),")")</f>
        <v>(15.8)</v>
      </c>
      <c r="K178" s="302">
        <f t="shared" ref="K178:K179" si="142">B183-B178</f>
        <v>9.5090000054320853</v>
      </c>
      <c r="L178" s="302">
        <f t="shared" ref="L178:L179" si="143">D183-D178</f>
        <v>7.1530000006466281</v>
      </c>
      <c r="M178" s="302">
        <f t="shared" ref="M178:M179" si="144">F183-F178</f>
        <v>2.542000000439991</v>
      </c>
      <c r="N178" s="302">
        <f t="shared" ref="N178:N179" si="145">SUM(K178:M178)</f>
        <v>19.204000006518704</v>
      </c>
    </row>
    <row r="179" spans="1:14" x14ac:dyDescent="0.3">
      <c r="A179" s="282" t="s">
        <v>354</v>
      </c>
      <c r="B179" s="302">
        <f>SUM(B177:B178)</f>
        <v>1099.7859999975403</v>
      </c>
      <c r="C179" s="299" t="str">
        <f>CONCATENATE("(",ROUND((B179/$H179)*100,1),")")</f>
        <v>(55)</v>
      </c>
      <c r="D179" s="302">
        <f>SUM(D177:D178)</f>
        <v>180.88300000048724</v>
      </c>
      <c r="E179" s="299" t="str">
        <f>CONCATENATE("(",ROUND((D179/$H179)*100,1),")")</f>
        <v>(9)</v>
      </c>
      <c r="F179" s="302">
        <f>SUM(F177:F178)</f>
        <v>719.12599997565133</v>
      </c>
      <c r="G179" s="299" t="str">
        <f>CONCATENATE("(",ROUND((F179/$H179)*100,1),")")</f>
        <v>(36)</v>
      </c>
      <c r="H179" s="302">
        <f>SUM(H177:H178)</f>
        <v>1999.7949999736786</v>
      </c>
      <c r="I179" s="299" t="str">
        <f>CONCATENATE("(",ROUND((H179/$H179)*100,1),")")</f>
        <v>(100)</v>
      </c>
      <c r="K179" s="302">
        <f t="shared" si="142"/>
        <v>42.810000007485087</v>
      </c>
      <c r="L179" s="302">
        <f t="shared" si="143"/>
        <v>12.241000000660335</v>
      </c>
      <c r="M179" s="302">
        <f t="shared" si="144"/>
        <v>43.104999951442778</v>
      </c>
      <c r="N179" s="302">
        <f t="shared" si="145"/>
        <v>98.1559999595882</v>
      </c>
    </row>
    <row r="180" spans="1:14" x14ac:dyDescent="0.3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3">
      <c r="A182" s="282" t="s">
        <v>355</v>
      </c>
      <c r="B182" s="302">
        <f>'Ind T6'!Q215</f>
        <v>967.44000000147776</v>
      </c>
      <c r="C182" s="299" t="str">
        <f>CONCATENATE("(",ROUND((B182/$H184)*100,1),")")</f>
        <v>(46.1)</v>
      </c>
      <c r="D182" s="302">
        <f>'Ind T6'!R215</f>
        <v>74.969999999893602</v>
      </c>
      <c r="E182" s="299" t="str">
        <f>CONCATENATE("(",ROUND((D182/$H184)*100,1),")")</f>
        <v>(3.6)</v>
      </c>
      <c r="F182" s="302">
        <f>'Ind T6'!S215</f>
        <v>721.27699992705982</v>
      </c>
      <c r="G182" s="299" t="str">
        <f>CONCATENATE("(",ROUND((F182/$H184)*100,1),")")</f>
        <v>(34.4)</v>
      </c>
      <c r="H182" s="302">
        <f>SUM(B182,D182,F182)</f>
        <v>1763.6869999284313</v>
      </c>
      <c r="I182" s="299" t="str">
        <f>CONCATENATE("(",ROUND((H182/$H184)*100,1),")")</f>
        <v>(84.1)</v>
      </c>
      <c r="K182" s="302">
        <f>B187-B182</f>
        <v>39.975000000370301</v>
      </c>
      <c r="L182" s="302">
        <f>D187-D182</f>
        <v>9.0059999998454856</v>
      </c>
      <c r="M182" s="302">
        <f>F187-F182</f>
        <v>70.747000017794221</v>
      </c>
      <c r="N182" s="302">
        <f>SUM(K182:M182)</f>
        <v>119.72800001801001</v>
      </c>
    </row>
    <row r="183" spans="1:14" x14ac:dyDescent="0.3">
      <c r="A183" s="282" t="s">
        <v>356</v>
      </c>
      <c r="B183" s="302">
        <f>'Ind T6'!Q214</f>
        <v>175.15600000354766</v>
      </c>
      <c r="C183" s="299" t="str">
        <f>CONCATENATE("(",ROUND((B183/$H184)*100,1),")")</f>
        <v>(8.3)</v>
      </c>
      <c r="D183" s="302">
        <f>'Ind T6'!R214</f>
        <v>118.15400000125396</v>
      </c>
      <c r="E183" s="299" t="str">
        <f>CONCATENATE("(",ROUND((D183/$H184)*100,1),")")</f>
        <v>(5.6)</v>
      </c>
      <c r="F183" s="302">
        <f>'Ind T6'!S214</f>
        <v>40.954000000034235</v>
      </c>
      <c r="G183" s="299" t="str">
        <f>CONCATENATE("(",ROUND((F183/$H184)*100,1),")")</f>
        <v>(2)</v>
      </c>
      <c r="H183" s="302">
        <f t="shared" ref="H183" si="146">SUM(B183,D183,F183)</f>
        <v>334.26400000483585</v>
      </c>
      <c r="I183" s="299" t="str">
        <f>CONCATENATE("(",ROUND((H183/$H184)*100,1),")")</f>
        <v>(15.9)</v>
      </c>
      <c r="K183" s="302">
        <f t="shared" ref="K183:K184" si="147">B188-B183</f>
        <v>16.57199999766442</v>
      </c>
      <c r="L183" s="302">
        <f t="shared" ref="L183:L184" si="148">D188-D183</f>
        <v>12.473999997863274</v>
      </c>
      <c r="M183" s="302">
        <f t="shared" ref="M183:M184" si="149">F188-F183</f>
        <v>5.1920000000152911</v>
      </c>
      <c r="N183" s="302">
        <f t="shared" ref="N183:N184" si="150">SUM(K183:M183)</f>
        <v>34.237999995542985</v>
      </c>
    </row>
    <row r="184" spans="1:14" x14ac:dyDescent="0.3">
      <c r="A184" s="282" t="s">
        <v>354</v>
      </c>
      <c r="B184" s="302">
        <f>SUM(B182:B183)</f>
        <v>1142.5960000050254</v>
      </c>
      <c r="C184" s="299" t="str">
        <f>CONCATENATE("(",ROUND((B184/$H184)*100,1),")")</f>
        <v>(54.5)</v>
      </c>
      <c r="D184" s="302">
        <f>SUM(D182:D183)</f>
        <v>193.12400000114758</v>
      </c>
      <c r="E184" s="299" t="str">
        <f>CONCATENATE("(",ROUND((D184/$H184)*100,1),")")</f>
        <v>(9.2)</v>
      </c>
      <c r="F184" s="302">
        <f>SUM(F182:F183)</f>
        <v>762.2309999270941</v>
      </c>
      <c r="G184" s="299" t="str">
        <f>CONCATENATE("(",ROUND((F184/$H184)*100,1),")")</f>
        <v>(36.3)</v>
      </c>
      <c r="H184" s="302">
        <f>SUM(H182:H183)</f>
        <v>2097.9509999332672</v>
      </c>
      <c r="I184" s="299" t="str">
        <f>CONCATENATE("(",ROUND((H184/$H184)*100,1),")")</f>
        <v>(100)</v>
      </c>
      <c r="K184" s="302">
        <f t="shared" si="147"/>
        <v>56.546999998034607</v>
      </c>
      <c r="L184" s="302">
        <f t="shared" si="148"/>
        <v>21.479999997708745</v>
      </c>
      <c r="M184" s="302">
        <f t="shared" si="149"/>
        <v>75.939000017809462</v>
      </c>
      <c r="N184" s="302">
        <f t="shared" si="150"/>
        <v>153.96600001355282</v>
      </c>
    </row>
    <row r="185" spans="1:14" x14ac:dyDescent="0.3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3">
      <c r="A187" s="282" t="s">
        <v>355</v>
      </c>
      <c r="B187" s="302">
        <f>'Ind T6'!V215</f>
        <v>1007.4150000018481</v>
      </c>
      <c r="C187" s="299" t="str">
        <f>CONCATENATE("(",ROUND((B187/$H189)*100,1),")")</f>
        <v>(44.7)</v>
      </c>
      <c r="D187" s="302">
        <f>'Ind T6'!W215</f>
        <v>83.975999999739088</v>
      </c>
      <c r="E187" s="299" t="str">
        <f>CONCATENATE("(",ROUND((D187/$H189)*100,1),")")</f>
        <v>(3.7)</v>
      </c>
      <c r="F187" s="302">
        <f>'Ind T6'!X215</f>
        <v>792.02399994485404</v>
      </c>
      <c r="G187" s="299" t="str">
        <f>CONCATENATE("(",ROUND((F187/$H189)*100,1),")")</f>
        <v>(35.2)</v>
      </c>
      <c r="H187" s="302">
        <f>SUM(B187,D187,F187)</f>
        <v>1883.4149999464412</v>
      </c>
      <c r="I187" s="299" t="str">
        <f>CONCATENATE("(",ROUND((H187/$H189)*100,1),")")</f>
        <v>(83.6)</v>
      </c>
      <c r="K187" s="302">
        <f>B187-B177</f>
        <v>73.276000002423416</v>
      </c>
      <c r="L187" s="302">
        <f>D187-D177</f>
        <v>14.093999999859193</v>
      </c>
      <c r="M187" s="302">
        <f>F187-F177</f>
        <v>111.309999968797</v>
      </c>
      <c r="N187" s="302">
        <f>SUM(K187:M187)</f>
        <v>198.67999997107961</v>
      </c>
    </row>
    <row r="188" spans="1:14" x14ac:dyDescent="0.3">
      <c r="A188" s="282" t="s">
        <v>356</v>
      </c>
      <c r="B188" s="302">
        <f>'Ind T6'!V214</f>
        <v>191.72800000121208</v>
      </c>
      <c r="C188" s="299" t="str">
        <f>CONCATENATE("(",ROUND((B188/$H189)*100,1),")")</f>
        <v>(8.5)</v>
      </c>
      <c r="D188" s="302">
        <f>'Ind T6'!W214</f>
        <v>130.62799999911724</v>
      </c>
      <c r="E188" s="299" t="str">
        <f>CONCATENATE("(",ROUND((D188/$H189)*100,1),")")</f>
        <v>(5.8)</v>
      </c>
      <c r="F188" s="302">
        <f>'Ind T6'!X214</f>
        <v>46.146000000049526</v>
      </c>
      <c r="G188" s="299" t="str">
        <f>CONCATENATE("(",ROUND((F188/$H189)*100,1),")")</f>
        <v>(2)</v>
      </c>
      <c r="H188" s="302">
        <f t="shared" ref="H188" si="151">SUM(B188,D188,F188)</f>
        <v>368.50200000037887</v>
      </c>
      <c r="I188" s="299" t="str">
        <f>CONCATENATE("(",ROUND((H188/$H189)*100,1),")")</f>
        <v>(16.4)</v>
      </c>
      <c r="K188" s="302">
        <f t="shared" ref="K188:K189" si="152">B188-B178</f>
        <v>26.081000003096506</v>
      </c>
      <c r="L188" s="302">
        <f t="shared" ref="L188:L189" si="153">D188-D178</f>
        <v>19.626999998509902</v>
      </c>
      <c r="M188" s="302">
        <f t="shared" ref="M188:M189" si="154">F188-F178</f>
        <v>7.734000000455282</v>
      </c>
      <c r="N188" s="302">
        <f t="shared" ref="N188:N189" si="155">SUM(K188:M188)</f>
        <v>53.44200000206169</v>
      </c>
    </row>
    <row r="189" spans="1:14" x14ac:dyDescent="0.3">
      <c r="A189" s="282" t="s">
        <v>354</v>
      </c>
      <c r="B189" s="302">
        <f>SUM(B187:B188)</f>
        <v>1199.14300000306</v>
      </c>
      <c r="C189" s="299" t="str">
        <f>CONCATENATE("(",ROUND((B189/$H189)*100,1),")")</f>
        <v>(53.2)</v>
      </c>
      <c r="D189" s="302">
        <f>SUM(D187:D188)</f>
        <v>214.60399999885632</v>
      </c>
      <c r="E189" s="299" t="str">
        <f>CONCATENATE("(",ROUND((D189/$H189)*100,1),")")</f>
        <v>(9.5)</v>
      </c>
      <c r="F189" s="302">
        <f>SUM(F187:F188)</f>
        <v>838.16999994490357</v>
      </c>
      <c r="G189" s="299" t="str">
        <f>CONCATENATE("(",ROUND((F189/$H189)*100,1),")")</f>
        <v>(37.2)</v>
      </c>
      <c r="H189" s="302">
        <f>SUM(H187:H188)</f>
        <v>2251.9169999468199</v>
      </c>
      <c r="I189" s="299" t="str">
        <f>CONCATENATE("(",ROUND((H189/$H189)*100,1),")")</f>
        <v>(100)</v>
      </c>
      <c r="K189" s="302">
        <f t="shared" si="152"/>
        <v>99.357000005519694</v>
      </c>
      <c r="L189" s="302">
        <f t="shared" si="153"/>
        <v>33.720999998369081</v>
      </c>
      <c r="M189" s="302">
        <f t="shared" si="154"/>
        <v>119.04399996925224</v>
      </c>
      <c r="N189" s="302">
        <f t="shared" si="155"/>
        <v>252.12199997314102</v>
      </c>
    </row>
    <row r="190" spans="1:14" x14ac:dyDescent="0.3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3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3">
      <c r="N195" s="287" t="s">
        <v>377</v>
      </c>
    </row>
    <row r="196" spans="1:14" x14ac:dyDescent="0.3">
      <c r="A196" s="181" t="s">
        <v>378</v>
      </c>
      <c r="B196" s="370" t="s">
        <v>376</v>
      </c>
      <c r="C196" s="370"/>
      <c r="D196" s="370" t="s">
        <v>375</v>
      </c>
      <c r="E196" s="370"/>
      <c r="F196" s="370" t="s">
        <v>374</v>
      </c>
      <c r="G196" s="370"/>
      <c r="H196" s="370" t="s">
        <v>32</v>
      </c>
      <c r="I196" s="370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3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3">
      <c r="A198" s="282" t="s">
        <v>355</v>
      </c>
      <c r="B198" s="302">
        <f>'Ind T6'!L240</f>
        <v>1539.8580000003112</v>
      </c>
      <c r="C198" s="299" t="str">
        <f>CONCATENATE("(",ROUND((B198/$H200)*100,1),")")</f>
        <v>(36.2)</v>
      </c>
      <c r="D198" s="302">
        <f>'Ind T6'!M240</f>
        <v>520.81299999803196</v>
      </c>
      <c r="E198" s="299" t="str">
        <f>CONCATENATE("(",ROUND((D198/$H200)*100,1),")")</f>
        <v>(12.2)</v>
      </c>
      <c r="F198" s="302">
        <f>'Ind T6'!N240</f>
        <v>167.12300000135664</v>
      </c>
      <c r="G198" s="299" t="str">
        <f>CONCATENATE("(",ROUND((F198/$H200)*100,1),")")</f>
        <v>(3.9)</v>
      </c>
      <c r="H198" s="302">
        <f>SUM(B198,D198,F198)</f>
        <v>2227.7939999996997</v>
      </c>
      <c r="I198" s="299" t="str">
        <f>CONCATENATE("(",ROUND((H198/$H200)*100,1),")")</f>
        <v>(52.3)</v>
      </c>
      <c r="K198" s="302">
        <f>B203-B198</f>
        <v>22.247000003136691</v>
      </c>
      <c r="L198" s="302">
        <f>D203-D198</f>
        <v>0.437000002533523</v>
      </c>
      <c r="M198" s="302">
        <f>F203-F198</f>
        <v>2.3900000002279</v>
      </c>
      <c r="N198" s="302">
        <f>SUM(K198:M198)</f>
        <v>25.074000005898114</v>
      </c>
    </row>
    <row r="199" spans="1:14" x14ac:dyDescent="0.3">
      <c r="A199" s="282" t="s">
        <v>356</v>
      </c>
      <c r="B199" s="302">
        <f>'Ind T6'!L239</f>
        <v>869.93599999467483</v>
      </c>
      <c r="C199" s="299" t="str">
        <f>CONCATENATE("(",ROUND((B199/$H200)*100,1),")")</f>
        <v>(20.4)</v>
      </c>
      <c r="D199" s="302">
        <f>'Ind T6'!M239</f>
        <v>1053.1610000430546</v>
      </c>
      <c r="E199" s="299" t="str">
        <f>CONCATENATE("(",ROUND((D199/$H200)*100,1),")")</f>
        <v>(24.7)</v>
      </c>
      <c r="F199" s="302">
        <f>'Ind T6'!N239</f>
        <v>108.73599999830753</v>
      </c>
      <c r="G199" s="299" t="str">
        <f>CONCATENATE("(",ROUND((F199/$H200)*100,1),")")</f>
        <v>(2.6)</v>
      </c>
      <c r="H199" s="302">
        <f t="shared" ref="H199" si="156">SUM(B199,D199,F199)</f>
        <v>2031.833000036037</v>
      </c>
      <c r="I199" s="299" t="str">
        <f>CONCATENATE("(",ROUND((H199/$H200)*100,1),")")</f>
        <v>(47.7)</v>
      </c>
      <c r="K199" s="302">
        <f t="shared" ref="K199:K200" si="157">B204-B199</f>
        <v>33.996000029593233</v>
      </c>
      <c r="L199" s="302">
        <f t="shared" ref="L199:L200" si="158">D204-D199</f>
        <v>-38.633999975677398</v>
      </c>
      <c r="M199" s="302">
        <f t="shared" ref="M199:M200" si="159">F204-F199</f>
        <v>3.5670000015853986</v>
      </c>
      <c r="N199" s="302">
        <f t="shared" ref="N199:N200" si="160">SUM(K199:M199)</f>
        <v>-1.0709999444987659</v>
      </c>
    </row>
    <row r="200" spans="1:14" x14ac:dyDescent="0.3">
      <c r="A200" s="282" t="s">
        <v>354</v>
      </c>
      <c r="B200" s="302">
        <f>SUM(B198:B199)</f>
        <v>2409.7939999949858</v>
      </c>
      <c r="C200" s="299" t="str">
        <f>CONCATENATE("(",ROUND((B200/$H200)*100,1),")")</f>
        <v>(56.6)</v>
      </c>
      <c r="D200" s="302">
        <f>SUM(D198:D199)</f>
        <v>1573.9740000410866</v>
      </c>
      <c r="E200" s="299" t="str">
        <f>CONCATENATE("(",ROUND((D200/$H200)*100,1),")")</f>
        <v>(37)</v>
      </c>
      <c r="F200" s="302">
        <f>SUM(F198:F199)</f>
        <v>275.85899999966421</v>
      </c>
      <c r="G200" s="299" t="str">
        <f>CONCATENATE("(",ROUND((F200/$H200)*100,1),")")</f>
        <v>(6.5)</v>
      </c>
      <c r="H200" s="302">
        <f>SUM(H198:H199)</f>
        <v>4259.6270000357363</v>
      </c>
      <c r="I200" s="299" t="str">
        <f>CONCATENATE("(",ROUND((H200/$H200)*100,1),")")</f>
        <v>(100)</v>
      </c>
      <c r="K200" s="302">
        <f t="shared" si="157"/>
        <v>56.243000032730379</v>
      </c>
      <c r="L200" s="302">
        <f t="shared" si="158"/>
        <v>-38.196999973143875</v>
      </c>
      <c r="M200" s="302">
        <f t="shared" si="159"/>
        <v>5.9570000018132987</v>
      </c>
      <c r="N200" s="302">
        <f t="shared" si="160"/>
        <v>24.003000061399803</v>
      </c>
    </row>
    <row r="201" spans="1:14" x14ac:dyDescent="0.3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3">
      <c r="A203" s="282" t="s">
        <v>355</v>
      </c>
      <c r="B203" s="302">
        <f>'Ind T6'!Q240</f>
        <v>1562.1050000034479</v>
      </c>
      <c r="C203" s="299" t="str">
        <f>CONCATENATE("(",ROUND((B203/$H205)*100,1),")")</f>
        <v>(36.5)</v>
      </c>
      <c r="D203" s="302">
        <f>'Ind T6'!R240</f>
        <v>521.25000000056548</v>
      </c>
      <c r="E203" s="299" t="str">
        <f>CONCATENATE("(",ROUND((D203/$H205)*100,1),")")</f>
        <v>(12.2)</v>
      </c>
      <c r="F203" s="302">
        <f>'Ind T6'!S240</f>
        <v>169.51300000158454</v>
      </c>
      <c r="G203" s="299" t="str">
        <f>CONCATENATE("(",ROUND((F203/$H205)*100,1),")")</f>
        <v>(4)</v>
      </c>
      <c r="H203" s="302">
        <f>SUM(B203,D203,F203)</f>
        <v>2252.8680000055979</v>
      </c>
      <c r="I203" s="299" t="str">
        <f>CONCATENATE("(",ROUND((H203/$H205)*100,1),")")</f>
        <v>(52.6)</v>
      </c>
      <c r="K203" s="302">
        <f>B208-B203</f>
        <v>32.440000000945247</v>
      </c>
      <c r="L203" s="302">
        <f>D208-D203</f>
        <v>3.8270000011843877</v>
      </c>
      <c r="M203" s="302">
        <f>F208-F203</f>
        <v>3.9330000003040482</v>
      </c>
      <c r="N203" s="302">
        <f>SUM(K203:M203)</f>
        <v>40.200000002433683</v>
      </c>
    </row>
    <row r="204" spans="1:14" x14ac:dyDescent="0.3">
      <c r="A204" s="282" t="s">
        <v>356</v>
      </c>
      <c r="B204" s="302">
        <f>'Ind T6'!Q239</f>
        <v>903.93200002426806</v>
      </c>
      <c r="C204" s="299" t="str">
        <f>CONCATENATE("(",ROUND((B204/$H205)*100,1),")")</f>
        <v>(21.1)</v>
      </c>
      <c r="D204" s="302">
        <f>'Ind T6'!R239</f>
        <v>1014.5270000673772</v>
      </c>
      <c r="E204" s="299" t="str">
        <f>CONCATENATE("(",ROUND((D204/$H205)*100,1),")")</f>
        <v>(23.7)</v>
      </c>
      <c r="F204" s="302">
        <f>'Ind T6'!S239</f>
        <v>112.30299999989293</v>
      </c>
      <c r="G204" s="299" t="str">
        <f>CONCATENATE("(",ROUND((F204/$H205)*100,1),")")</f>
        <v>(2.6)</v>
      </c>
      <c r="H204" s="302">
        <f t="shared" ref="H204" si="161">SUM(B204,D204,F204)</f>
        <v>2030.7620000915383</v>
      </c>
      <c r="I204" s="299" t="str">
        <f>CONCATENATE("(",ROUND((H204/$H205)*100,1),")")</f>
        <v>(47.4)</v>
      </c>
      <c r="K204" s="302">
        <f t="shared" ref="K204:K205" si="162">B209-B204</f>
        <v>67.680999966196737</v>
      </c>
      <c r="L204" s="302">
        <f t="shared" ref="L204:L205" si="163">D209-D204</f>
        <v>-70.729000079584353</v>
      </c>
      <c r="M204" s="302">
        <f t="shared" ref="M204:M205" si="164">F209-F204</f>
        <v>7.6860000014762022</v>
      </c>
      <c r="N204" s="302">
        <f t="shared" ref="N204:N205" si="165">SUM(K204:M204)</f>
        <v>4.6379998880885864</v>
      </c>
    </row>
    <row r="205" spans="1:14" x14ac:dyDescent="0.3">
      <c r="A205" s="282" t="s">
        <v>354</v>
      </c>
      <c r="B205" s="302">
        <f>SUM(B203:B204)</f>
        <v>2466.0370000277162</v>
      </c>
      <c r="C205" s="299" t="str">
        <f>CONCATENATE("(",ROUND((B205/$H205)*100,1),")")</f>
        <v>(57.6)</v>
      </c>
      <c r="D205" s="302">
        <f>SUM(D203:D204)</f>
        <v>1535.7770000679427</v>
      </c>
      <c r="E205" s="299" t="str">
        <f>CONCATENATE("(",ROUND((D205/$H205)*100,1),")")</f>
        <v>(35.9)</v>
      </c>
      <c r="F205" s="302">
        <f>SUM(F203:F204)</f>
        <v>281.81600000147751</v>
      </c>
      <c r="G205" s="299" t="str">
        <f>CONCATENATE("(",ROUND((F205/$H205)*100,1),")")</f>
        <v>(6.6)</v>
      </c>
      <c r="H205" s="302">
        <f>SUM(H203:H204)</f>
        <v>4283.630000097136</v>
      </c>
      <c r="I205" s="299" t="str">
        <f>CONCATENATE("(",ROUND((H205/$H205)*100,1),")")</f>
        <v>(100)</v>
      </c>
      <c r="K205" s="302">
        <f t="shared" si="162"/>
        <v>100.12099996714187</v>
      </c>
      <c r="L205" s="302">
        <f t="shared" si="163"/>
        <v>-66.902000078400079</v>
      </c>
      <c r="M205" s="302">
        <f t="shared" si="164"/>
        <v>11.61900000178025</v>
      </c>
      <c r="N205" s="302">
        <f t="shared" si="165"/>
        <v>44.837999890522042</v>
      </c>
    </row>
    <row r="206" spans="1:14" x14ac:dyDescent="0.3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3">
      <c r="A208" s="282" t="s">
        <v>355</v>
      </c>
      <c r="B208" s="302">
        <f>'Ind T6'!V240</f>
        <v>1594.5450000043932</v>
      </c>
      <c r="C208" s="299" t="str">
        <f>CONCATENATE("(",ROUND((B208/$H210)*100,1),")")</f>
        <v>(36.8)</v>
      </c>
      <c r="D208" s="302">
        <f>'Ind T6'!W240</f>
        <v>525.07700000174987</v>
      </c>
      <c r="E208" s="299" t="str">
        <f>CONCATENATE("(",ROUND((D208/$H210)*100,1),")")</f>
        <v>(12.1)</v>
      </c>
      <c r="F208" s="302">
        <f>'Ind T6'!X240</f>
        <v>173.44600000188859</v>
      </c>
      <c r="G208" s="299" t="str">
        <f>CONCATENATE("(",ROUND((F208/$H210)*100,1),")")</f>
        <v>(4)</v>
      </c>
      <c r="H208" s="302">
        <f>SUM(B208,D208,F208)</f>
        <v>2293.0680000080315</v>
      </c>
      <c r="I208" s="299" t="str">
        <f>CONCATENATE("(",ROUND((H208/$H210)*100,1),")")</f>
        <v>(53)</v>
      </c>
      <c r="K208" s="302">
        <f>B208-B198</f>
        <v>54.687000004081938</v>
      </c>
      <c r="L208" s="302">
        <f>D208-D198</f>
        <v>4.2640000037179107</v>
      </c>
      <c r="M208" s="302">
        <f>F208-F198</f>
        <v>6.3230000005319482</v>
      </c>
      <c r="N208" s="302">
        <f>SUM(K208:M208)</f>
        <v>65.274000008331797</v>
      </c>
    </row>
    <row r="209" spans="1:14" x14ac:dyDescent="0.3">
      <c r="A209" s="282" t="s">
        <v>356</v>
      </c>
      <c r="B209" s="302">
        <f>'Ind T6'!V239</f>
        <v>971.6129999904648</v>
      </c>
      <c r="C209" s="299" t="str">
        <f>CONCATENATE("(",ROUND((B209/$H210)*100,1),")")</f>
        <v>(22.4)</v>
      </c>
      <c r="D209" s="302">
        <f>'Ind T6'!W239</f>
        <v>943.79799998779288</v>
      </c>
      <c r="E209" s="299" t="str">
        <f>CONCATENATE("(",ROUND((D209/$H210)*100,1),")")</f>
        <v>(21.8)</v>
      </c>
      <c r="F209" s="302">
        <f>'Ind T6'!X239</f>
        <v>119.98900000136913</v>
      </c>
      <c r="G209" s="299" t="str">
        <f>CONCATENATE("(",ROUND((F209/$H210)*100,1),")")</f>
        <v>(2.8)</v>
      </c>
      <c r="H209" s="302">
        <f t="shared" ref="H209" si="166">SUM(B209,D209,F209)</f>
        <v>2035.3999999796267</v>
      </c>
      <c r="I209" s="299" t="str">
        <f>CONCATENATE("(",ROUND((H209/$H210)*100,1),")")</f>
        <v>(47)</v>
      </c>
      <c r="K209" s="302">
        <f t="shared" ref="K209:K210" si="167">B209-B199</f>
        <v>101.67699999578997</v>
      </c>
      <c r="L209" s="302">
        <f t="shared" ref="L209:L210" si="168">D209-D199</f>
        <v>-109.36300005526175</v>
      </c>
      <c r="M209" s="302">
        <f t="shared" ref="M209:M210" si="169">F209-F199</f>
        <v>11.253000003061601</v>
      </c>
      <c r="N209" s="302">
        <f t="shared" ref="N209:N210" si="170">SUM(K209:M209)</f>
        <v>3.5669999435898205</v>
      </c>
    </row>
    <row r="210" spans="1:14" x14ac:dyDescent="0.3">
      <c r="A210" s="282" t="s">
        <v>354</v>
      </c>
      <c r="B210" s="302">
        <f>SUM(B208:B209)</f>
        <v>2566.1579999948581</v>
      </c>
      <c r="C210" s="299" t="str">
        <f>CONCATENATE("(",ROUND((B210/$H210)*100,1),")")</f>
        <v>(59.3)</v>
      </c>
      <c r="D210" s="302">
        <f>SUM(D208:D209)</f>
        <v>1468.8749999895426</v>
      </c>
      <c r="E210" s="299" t="str">
        <f>CONCATENATE("(",ROUND((D210/$H210)*100,1),")")</f>
        <v>(33.9)</v>
      </c>
      <c r="F210" s="302">
        <f>SUM(F208:F209)</f>
        <v>293.43500000325776</v>
      </c>
      <c r="G210" s="299" t="str">
        <f>CONCATENATE("(",ROUND((F210/$H210)*100,1),")")</f>
        <v>(6.8)</v>
      </c>
      <c r="H210" s="302">
        <f>SUM(H208:H209)</f>
        <v>4328.467999987658</v>
      </c>
      <c r="I210" s="299" t="str">
        <f>CONCATENATE("(",ROUND((H210/$H210)*100,1),")")</f>
        <v>(100)</v>
      </c>
      <c r="K210" s="302">
        <f t="shared" si="167"/>
        <v>156.36399999987225</v>
      </c>
      <c r="L210" s="302">
        <f t="shared" si="168"/>
        <v>-105.09900005154395</v>
      </c>
      <c r="M210" s="302">
        <f t="shared" si="169"/>
        <v>17.576000003593549</v>
      </c>
      <c r="N210" s="302">
        <f t="shared" si="170"/>
        <v>68.840999951921845</v>
      </c>
    </row>
    <row r="211" spans="1:14" x14ac:dyDescent="0.3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3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3">
      <c r="N216" s="287" t="s">
        <v>377</v>
      </c>
    </row>
    <row r="217" spans="1:14" x14ac:dyDescent="0.3">
      <c r="A217" s="181" t="s">
        <v>378</v>
      </c>
      <c r="B217" s="370" t="s">
        <v>376</v>
      </c>
      <c r="C217" s="370"/>
      <c r="D217" s="370" t="s">
        <v>375</v>
      </c>
      <c r="E217" s="370"/>
      <c r="F217" s="370" t="s">
        <v>374</v>
      </c>
      <c r="G217" s="370"/>
      <c r="H217" s="370" t="s">
        <v>32</v>
      </c>
      <c r="I217" s="370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3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3">
      <c r="A219" s="282" t="s">
        <v>355</v>
      </c>
      <c r="B219" s="302">
        <f>'Ind T6'!L275</f>
        <v>863.67899999937777</v>
      </c>
      <c r="C219" s="299" t="str">
        <f>CONCATENATE("(",ROUND((B219/$H221)*100,1),")")</f>
        <v>(54.6)</v>
      </c>
      <c r="D219" s="302">
        <f>'Ind T6'!M275</f>
        <v>134.54199999976777</v>
      </c>
      <c r="E219" s="299" t="str">
        <f>CONCATENATE("(",ROUND((D219/$H221)*100,1),")")</f>
        <v>(8.5)</v>
      </c>
      <c r="F219" s="302">
        <f>'Ind T6'!N275</f>
        <v>207.89600000387415</v>
      </c>
      <c r="G219" s="299" t="str">
        <f>CONCATENATE("(",ROUND((F219/$H221)*100,1),")")</f>
        <v>(13.1)</v>
      </c>
      <c r="H219" s="302">
        <f>SUM(B219,D219,F219)</f>
        <v>1206.1170000030197</v>
      </c>
      <c r="I219" s="299" t="str">
        <f>CONCATENATE("(",ROUND((H219/$H221)*100,1),")")</f>
        <v>(76.2)</v>
      </c>
      <c r="K219" s="302">
        <f>B224-B219</f>
        <v>45.630000001630151</v>
      </c>
      <c r="L219" s="302">
        <f>D224-D219</f>
        <v>8.4209999999839056</v>
      </c>
      <c r="M219" s="302">
        <f>F224-F219</f>
        <v>17.774000010610791</v>
      </c>
      <c r="N219" s="302">
        <f>SUM(K219:M219)</f>
        <v>71.825000012224848</v>
      </c>
    </row>
    <row r="220" spans="1:14" x14ac:dyDescent="0.3">
      <c r="A220" s="282" t="s">
        <v>356</v>
      </c>
      <c r="B220" s="302">
        <f>'Ind T6'!L274</f>
        <v>218.22199999829397</v>
      </c>
      <c r="C220" s="299" t="str">
        <f>CONCATENATE("(",ROUND((B220/$H221)*100,1),")")</f>
        <v>(13.8)</v>
      </c>
      <c r="D220" s="302">
        <f>'Ind T6'!M274</f>
        <v>137.94800000190534</v>
      </c>
      <c r="E220" s="299" t="str">
        <f>CONCATENATE("(",ROUND((D220/$H221)*100,1),")")</f>
        <v>(8.7)</v>
      </c>
      <c r="F220" s="302">
        <f>'Ind T6'!N274</f>
        <v>20.491999999781086</v>
      </c>
      <c r="G220" s="299" t="str">
        <f>CONCATENATE("(",ROUND((F220/$H221)*100,1),")")</f>
        <v>(1.3)</v>
      </c>
      <c r="H220" s="302">
        <f t="shared" ref="H220" si="171">SUM(B220,D220,F220)</f>
        <v>376.66199999998037</v>
      </c>
      <c r="I220" s="299" t="str">
        <f>CONCATENATE("(",ROUND((H220/$H221)*100,1),")")</f>
        <v>(23.8)</v>
      </c>
      <c r="K220" s="302">
        <f t="shared" ref="K220:K221" si="172">B225-B220</f>
        <v>18.607000007309694</v>
      </c>
      <c r="L220" s="302">
        <f t="shared" ref="L220:L221" si="173">D225-D220</f>
        <v>13.874000001051542</v>
      </c>
      <c r="M220" s="302">
        <f t="shared" ref="M220:M221" si="174">F225-F220</f>
        <v>0.90500000023937233</v>
      </c>
      <c r="N220" s="302">
        <f t="shared" ref="N220:N221" si="175">SUM(K220:M220)</f>
        <v>33.386000008600604</v>
      </c>
    </row>
    <row r="221" spans="1:14" x14ac:dyDescent="0.3">
      <c r="A221" s="282" t="s">
        <v>354</v>
      </c>
      <c r="B221" s="302">
        <f>SUM(B219:B220)</f>
        <v>1081.9009999976718</v>
      </c>
      <c r="C221" s="299" t="str">
        <f>CONCATENATE("(",ROUND((B221/$H221)*100,1),")")</f>
        <v>(68.4)</v>
      </c>
      <c r="D221" s="302">
        <f>SUM(D219:D220)</f>
        <v>272.49000000167314</v>
      </c>
      <c r="E221" s="299" t="str">
        <f>CONCATENATE("(",ROUND((D221/$H221)*100,1),")")</f>
        <v>(17.2)</v>
      </c>
      <c r="F221" s="302">
        <f>SUM(F219:F220)</f>
        <v>228.38800000365524</v>
      </c>
      <c r="G221" s="299" t="str">
        <f>CONCATENATE("(",ROUND((F221/$H221)*100,1),")")</f>
        <v>(14.4)</v>
      </c>
      <c r="H221" s="302">
        <f>SUM(H219:H220)</f>
        <v>1582.779000003</v>
      </c>
      <c r="I221" s="299" t="str">
        <f>CONCATENATE("(",ROUND((H221/$H221)*100,1),")")</f>
        <v>(100)</v>
      </c>
      <c r="K221" s="302">
        <f t="shared" si="172"/>
        <v>64.237000008939731</v>
      </c>
      <c r="L221" s="302">
        <f t="shared" si="173"/>
        <v>22.295000001035419</v>
      </c>
      <c r="M221" s="302">
        <f t="shared" si="174"/>
        <v>18.67900001085016</v>
      </c>
      <c r="N221" s="302">
        <f t="shared" si="175"/>
        <v>105.21100002082531</v>
      </c>
    </row>
    <row r="222" spans="1:14" x14ac:dyDescent="0.3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3">
      <c r="A224" s="282" t="s">
        <v>355</v>
      </c>
      <c r="B224" s="302">
        <f>'Ind T6'!Q275</f>
        <v>909.30900000100792</v>
      </c>
      <c r="C224" s="299" t="str">
        <f>CONCATENATE("(",ROUND((B224/$H226)*100,1),")")</f>
        <v>(53.9)</v>
      </c>
      <c r="D224" s="302">
        <f>'Ind T6'!R275</f>
        <v>142.96299999975167</v>
      </c>
      <c r="E224" s="299" t="str">
        <f>CONCATENATE("(",ROUND((D224/$H226)*100,1),")")</f>
        <v>(8.5)</v>
      </c>
      <c r="F224" s="302">
        <f>'Ind T6'!S275</f>
        <v>225.67000001448494</v>
      </c>
      <c r="G224" s="299" t="str">
        <f>CONCATENATE("(",ROUND((F224/$H226)*100,1),")")</f>
        <v>(13.4)</v>
      </c>
      <c r="H224" s="302">
        <f>SUM(B224,D224,F224)</f>
        <v>1277.9420000152445</v>
      </c>
      <c r="I224" s="299" t="str">
        <f>CONCATENATE("(",ROUND((H224/$H226)*100,1),")")</f>
        <v>(75.7)</v>
      </c>
      <c r="K224" s="302">
        <f>B229-B224</f>
        <v>-11.14800000031687</v>
      </c>
      <c r="L224" s="302">
        <f>D229-D224</f>
        <v>6.2880000003372629</v>
      </c>
      <c r="M224" s="302">
        <f>F229-F224</f>
        <v>12.07399999721116</v>
      </c>
      <c r="N224" s="302">
        <f>SUM(K224:M224)</f>
        <v>7.2139999972315536</v>
      </c>
    </row>
    <row r="225" spans="1:14" x14ac:dyDescent="0.3">
      <c r="A225" s="282" t="s">
        <v>356</v>
      </c>
      <c r="B225" s="302">
        <f>'Ind T6'!Q274</f>
        <v>236.82900000560366</v>
      </c>
      <c r="C225" s="299" t="str">
        <f>CONCATENATE("(",ROUND((B225/$H226)*100,1),")")</f>
        <v>(14)</v>
      </c>
      <c r="D225" s="302">
        <f>'Ind T6'!R274</f>
        <v>151.82200000295688</v>
      </c>
      <c r="E225" s="299" t="str">
        <f>CONCATENATE("(",ROUND((D225/$H226)*100,1),")")</f>
        <v>(9)</v>
      </c>
      <c r="F225" s="302">
        <f>'Ind T6'!S274</f>
        <v>21.397000000020459</v>
      </c>
      <c r="G225" s="299" t="str">
        <f>CONCATENATE("(",ROUND((F225/$H226)*100,1),")")</f>
        <v>(1.3)</v>
      </c>
      <c r="H225" s="302">
        <f t="shared" ref="H225" si="176">SUM(B225,D225,F225)</f>
        <v>410.04800000858103</v>
      </c>
      <c r="I225" s="299" t="str">
        <f>CONCATENATE("(",ROUND((H225/$H226)*100,1),")")</f>
        <v>(24.3)</v>
      </c>
      <c r="K225" s="302">
        <f t="shared" ref="K225:K226" si="177">B230-B225</f>
        <v>12.119999992999425</v>
      </c>
      <c r="L225" s="302">
        <f t="shared" ref="L225:L226" si="178">D230-D225</f>
        <v>13.64599999467498</v>
      </c>
      <c r="M225" s="302">
        <f t="shared" ref="M225:M226" si="179">F230-F225</f>
        <v>-3.0000000795844528E-3</v>
      </c>
      <c r="N225" s="302">
        <f t="shared" ref="N225:N226" si="180">SUM(K225:M225)</f>
        <v>25.762999987594821</v>
      </c>
    </row>
    <row r="226" spans="1:14" x14ac:dyDescent="0.3">
      <c r="A226" s="282" t="s">
        <v>354</v>
      </c>
      <c r="B226" s="302">
        <f>SUM(B224:B225)</f>
        <v>1146.1380000066115</v>
      </c>
      <c r="C226" s="299" t="str">
        <f>CONCATENATE("(",ROUND((B226/$H226)*100,1),")")</f>
        <v>(67.9)</v>
      </c>
      <c r="D226" s="302">
        <f>SUM(D224:D225)</f>
        <v>294.78500000270856</v>
      </c>
      <c r="E226" s="299" t="str">
        <f>CONCATENATE("(",ROUND((D226/$H226)*100,1),")")</f>
        <v>(17.5)</v>
      </c>
      <c r="F226" s="302">
        <f>SUM(F224:F225)</f>
        <v>247.0670000145054</v>
      </c>
      <c r="G226" s="299" t="str">
        <f>CONCATENATE("(",ROUND((F226/$H226)*100,1),")")</f>
        <v>(14.6)</v>
      </c>
      <c r="H226" s="302">
        <f>SUM(H224:H225)</f>
        <v>1687.9900000238256</v>
      </c>
      <c r="I226" s="299" t="str">
        <f>CONCATENATE("(",ROUND((H226/$H226)*100,1),")")</f>
        <v>(100)</v>
      </c>
      <c r="K226" s="302">
        <f t="shared" si="177"/>
        <v>0.97199999268264037</v>
      </c>
      <c r="L226" s="302">
        <f t="shared" si="178"/>
        <v>19.933999995012243</v>
      </c>
      <c r="M226" s="302">
        <f t="shared" si="179"/>
        <v>12.070999997131565</v>
      </c>
      <c r="N226" s="302">
        <f t="shared" si="180"/>
        <v>32.976999984826449</v>
      </c>
    </row>
    <row r="227" spans="1:14" x14ac:dyDescent="0.3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3">
      <c r="A229" s="282" t="s">
        <v>355</v>
      </c>
      <c r="B229" s="302">
        <f>'Ind T6'!V275</f>
        <v>898.16100000069105</v>
      </c>
      <c r="C229" s="299" t="str">
        <f>CONCATENATE("(",ROUND((B229/$H231)*100,1),")")</f>
        <v>(52.2)</v>
      </c>
      <c r="D229" s="302">
        <f>'Ind T6'!W275</f>
        <v>149.25100000008894</v>
      </c>
      <c r="E229" s="299" t="str">
        <f>CONCATENATE("(",ROUND((D229/$H231)*100,1),")")</f>
        <v>(8.7)</v>
      </c>
      <c r="F229" s="302">
        <f>'Ind T6'!X275</f>
        <v>237.7440000116961</v>
      </c>
      <c r="G229" s="299" t="str">
        <f>CONCATENATE("(",ROUND((F229/$H231)*100,1),")")</f>
        <v>(13.8)</v>
      </c>
      <c r="H229" s="302">
        <f>SUM(B229,D229,F229)</f>
        <v>1285.1560000124759</v>
      </c>
      <c r="I229" s="299" t="str">
        <f>CONCATENATE("(",ROUND((H229/$H231)*100,1),")")</f>
        <v>(74.7)</v>
      </c>
      <c r="K229" s="302">
        <f>B229-B219</f>
        <v>34.482000001313281</v>
      </c>
      <c r="L229" s="302">
        <f>D229-D219</f>
        <v>14.709000000321168</v>
      </c>
      <c r="M229" s="302">
        <f>F229-F219</f>
        <v>29.848000007821952</v>
      </c>
      <c r="N229" s="302">
        <f>SUM(K229:M229)</f>
        <v>79.039000009456402</v>
      </c>
    </row>
    <row r="230" spans="1:14" x14ac:dyDescent="0.3">
      <c r="A230" s="282" t="s">
        <v>356</v>
      </c>
      <c r="B230" s="302">
        <f>'Ind T6'!V274</f>
        <v>248.94899999860309</v>
      </c>
      <c r="C230" s="299" t="str">
        <f>CONCATENATE("(",ROUND((B230/$H231)*100,1),")")</f>
        <v>(14.5)</v>
      </c>
      <c r="D230" s="302">
        <f>'Ind T6'!W274</f>
        <v>165.46799999763186</v>
      </c>
      <c r="E230" s="299" t="str">
        <f>CONCATENATE("(",ROUND((D230/$H231)*100,1),")")</f>
        <v>(9.6)</v>
      </c>
      <c r="F230" s="302">
        <f>'Ind T6'!X274</f>
        <v>21.393999999940874</v>
      </c>
      <c r="G230" s="299" t="str">
        <f>CONCATENATE("(",ROUND((F230/$H231)*100,1),")")</f>
        <v>(1.2)</v>
      </c>
      <c r="H230" s="302">
        <f t="shared" ref="H230" si="181">SUM(B230,D230,F230)</f>
        <v>435.81099999617584</v>
      </c>
      <c r="I230" s="299" t="str">
        <f>CONCATENATE("(",ROUND((H230/$H231)*100,1),")")</f>
        <v>(25.3)</v>
      </c>
      <c r="K230" s="302">
        <f t="shared" ref="K230:K231" si="182">B230-B220</f>
        <v>30.727000000309118</v>
      </c>
      <c r="L230" s="302">
        <f t="shared" ref="L230:L231" si="183">D230-D220</f>
        <v>27.519999995726522</v>
      </c>
      <c r="M230" s="302">
        <f t="shared" ref="M230:M231" si="184">F230-F220</f>
        <v>0.90200000015978787</v>
      </c>
      <c r="N230" s="302">
        <f t="shared" ref="N230:N231" si="185">SUM(K230:M230)</f>
        <v>59.148999996195428</v>
      </c>
    </row>
    <row r="231" spans="1:14" x14ac:dyDescent="0.3">
      <c r="A231" s="282" t="s">
        <v>354</v>
      </c>
      <c r="B231" s="302">
        <f>SUM(B229:B230)</f>
        <v>1147.1099999992941</v>
      </c>
      <c r="C231" s="299" t="str">
        <f>CONCATENATE("(",ROUND((B231/$H231)*100,1),")")</f>
        <v>(66.7)</v>
      </c>
      <c r="D231" s="302">
        <f>SUM(D229:D230)</f>
        <v>314.7189999977208</v>
      </c>
      <c r="E231" s="299" t="str">
        <f>CONCATENATE("(",ROUND((D231/$H231)*100,1),")")</f>
        <v>(18.3)</v>
      </c>
      <c r="F231" s="302">
        <f>SUM(F229:F230)</f>
        <v>259.13800001163696</v>
      </c>
      <c r="G231" s="299" t="str">
        <f>CONCATENATE("(",ROUND((F231/$H231)*100,1),")")</f>
        <v>(15.1)</v>
      </c>
      <c r="H231" s="302">
        <f>SUM(H229:H230)</f>
        <v>1720.9670000086517</v>
      </c>
      <c r="I231" s="299" t="str">
        <f>CONCATENATE("(",ROUND((H231/$H231)*100,1),")")</f>
        <v>(100)</v>
      </c>
      <c r="K231" s="302">
        <f t="shared" si="182"/>
        <v>65.209000001622371</v>
      </c>
      <c r="L231" s="302">
        <f t="shared" si="183"/>
        <v>42.228999996047662</v>
      </c>
      <c r="M231" s="302">
        <f t="shared" si="184"/>
        <v>30.750000007981726</v>
      </c>
      <c r="N231" s="302">
        <f t="shared" si="185"/>
        <v>138.18800000565176</v>
      </c>
    </row>
    <row r="232" spans="1:14" x14ac:dyDescent="0.3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3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3">
      <c r="N237" s="287" t="s">
        <v>377</v>
      </c>
    </row>
    <row r="238" spans="1:14" x14ac:dyDescent="0.3">
      <c r="A238" s="181" t="s">
        <v>378</v>
      </c>
      <c r="B238" s="370" t="s">
        <v>376</v>
      </c>
      <c r="C238" s="370"/>
      <c r="D238" s="370" t="s">
        <v>375</v>
      </c>
      <c r="E238" s="370"/>
      <c r="F238" s="370" t="s">
        <v>374</v>
      </c>
      <c r="G238" s="370"/>
      <c r="H238" s="370" t="s">
        <v>32</v>
      </c>
      <c r="I238" s="370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3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3">
      <c r="A240" s="282" t="s">
        <v>355</v>
      </c>
      <c r="B240" s="302">
        <f>'Ind T6'!L295</f>
        <v>452.37999999778413</v>
      </c>
      <c r="C240" s="299" t="str">
        <f>CONCATENATE("(",ROUND((B240/$H242)*100,1),")")</f>
        <v>(22.2)</v>
      </c>
      <c r="D240" s="302">
        <f>'Ind T6'!M295</f>
        <v>447.03399999804407</v>
      </c>
      <c r="E240" s="299" t="str">
        <f>CONCATENATE("(",ROUND((D240/$H242)*100,1),")")</f>
        <v>(22)</v>
      </c>
      <c r="F240" s="302">
        <f>'Ind T6'!N295</f>
        <v>43.774000000485167</v>
      </c>
      <c r="G240" s="299" t="str">
        <f>CONCATENATE("(",ROUND((F240/$H242)*100,1),")")</f>
        <v>(2.1)</v>
      </c>
      <c r="H240" s="302">
        <f>SUM(B240,D240,F240)</f>
        <v>943.18799999631335</v>
      </c>
      <c r="I240" s="299" t="str">
        <f>CONCATENATE("(",ROUND((H240/$H242)*100,1),")")</f>
        <v>(46.3)</v>
      </c>
      <c r="K240" s="302">
        <f>B245-B240</f>
        <v>25.343000002021711</v>
      </c>
      <c r="L240" s="302">
        <f>D245-D240</f>
        <v>16.785000001924629</v>
      </c>
      <c r="M240" s="302">
        <f>F245-F240</f>
        <v>2.8290000005692804</v>
      </c>
      <c r="N240" s="302">
        <f>SUM(K240:M240)</f>
        <v>44.957000004515621</v>
      </c>
    </row>
    <row r="241" spans="1:14" x14ac:dyDescent="0.3">
      <c r="A241" s="282" t="s">
        <v>356</v>
      </c>
      <c r="B241" s="302">
        <f>'Ind T6'!L294</f>
        <v>374.6179999974355</v>
      </c>
      <c r="C241" s="299" t="str">
        <f>CONCATENATE("(",ROUND((B241/$H242)*100,1),")")</f>
        <v>(18.4)</v>
      </c>
      <c r="D241" s="302">
        <f>'Ind T6'!M294</f>
        <v>653.2840000172589</v>
      </c>
      <c r="E241" s="299" t="str">
        <f>CONCATENATE("(",ROUND((D241/$H242)*100,1),")")</f>
        <v>(32.1)</v>
      </c>
      <c r="F241" s="302">
        <f>'Ind T6'!N294</f>
        <v>65.008999998749388</v>
      </c>
      <c r="G241" s="299" t="str">
        <f>CONCATENATE("(",ROUND((F241/$H242)*100,1),")")</f>
        <v>(3.2)</v>
      </c>
      <c r="H241" s="302">
        <f t="shared" ref="H241" si="186">SUM(B241,D241,F241)</f>
        <v>1092.9110000134438</v>
      </c>
      <c r="I241" s="299" t="str">
        <f>CONCATENATE("(",ROUND((H241/$H242)*100,1),")")</f>
        <v>(53.7)</v>
      </c>
      <c r="K241" s="302">
        <f t="shared" ref="K241:K242" si="187">B246-B241</f>
        <v>19.639000011716746</v>
      </c>
      <c r="L241" s="302">
        <f t="shared" ref="L241:L242" si="188">D246-D241</f>
        <v>28.132000014478649</v>
      </c>
      <c r="M241" s="302">
        <f t="shared" ref="M241:M242" si="189">F246-F241</f>
        <v>4.6540000013796146</v>
      </c>
      <c r="N241" s="302">
        <f t="shared" ref="N241:N242" si="190">SUM(K241:M241)</f>
        <v>52.42500002757501</v>
      </c>
    </row>
    <row r="242" spans="1:14" x14ac:dyDescent="0.3">
      <c r="A242" s="282" t="s">
        <v>354</v>
      </c>
      <c r="B242" s="302">
        <f>SUM(B240:B241)</f>
        <v>826.99799999521963</v>
      </c>
      <c r="C242" s="299" t="str">
        <f>CONCATENATE("(",ROUND((B242/$H242)*100,1),")")</f>
        <v>(40.6)</v>
      </c>
      <c r="D242" s="302">
        <f>SUM(D240:D241)</f>
        <v>1100.3180000153029</v>
      </c>
      <c r="E242" s="299" t="str">
        <f>CONCATENATE("(",ROUND((D242/$H242)*100,1),")")</f>
        <v>(54)</v>
      </c>
      <c r="F242" s="302">
        <f>SUM(F240:F241)</f>
        <v>108.78299999923456</v>
      </c>
      <c r="G242" s="299" t="str">
        <f>CONCATENATE("(",ROUND((F242/$H242)*100,1),")")</f>
        <v>(5.3)</v>
      </c>
      <c r="H242" s="302">
        <f>SUM(H240:H241)</f>
        <v>2036.0990000097572</v>
      </c>
      <c r="I242" s="299" t="str">
        <f>CONCATENATE("(",ROUND((H242/$H242)*100,1),")")</f>
        <v>(100)</v>
      </c>
      <c r="K242" s="302">
        <f t="shared" si="187"/>
        <v>44.982000013738457</v>
      </c>
      <c r="L242" s="302">
        <f t="shared" si="188"/>
        <v>44.917000016403335</v>
      </c>
      <c r="M242" s="302">
        <f t="shared" si="189"/>
        <v>7.4830000019488807</v>
      </c>
      <c r="N242" s="302">
        <f t="shared" si="190"/>
        <v>97.382000032090673</v>
      </c>
    </row>
    <row r="243" spans="1:14" x14ac:dyDescent="0.3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3">
      <c r="A245" s="282" t="s">
        <v>355</v>
      </c>
      <c r="B245" s="302">
        <f>'Ind T6'!Q295</f>
        <v>477.72299999980584</v>
      </c>
      <c r="C245" s="299" t="str">
        <f>CONCATENATE("(",ROUND((B245/$H247)*100,1),")")</f>
        <v>(22.4)</v>
      </c>
      <c r="D245" s="302">
        <f>'Ind T6'!R295</f>
        <v>463.8189999999687</v>
      </c>
      <c r="E245" s="299" t="str">
        <f>CONCATENATE("(",ROUND((D245/$H247)*100,1),")")</f>
        <v>(21.7)</v>
      </c>
      <c r="F245" s="302">
        <f>'Ind T6'!S295</f>
        <v>46.603000001054447</v>
      </c>
      <c r="G245" s="299" t="str">
        <f>CONCATENATE("(",ROUND((F245/$H247)*100,1),")")</f>
        <v>(2.2)</v>
      </c>
      <c r="H245" s="302">
        <f>SUM(B245,D245,F245)</f>
        <v>988.14500000082899</v>
      </c>
      <c r="I245" s="299" t="str">
        <f>CONCATENATE("(",ROUND((H245/$H247)*100,1),")")</f>
        <v>(46.3)</v>
      </c>
      <c r="K245" s="302">
        <f>B250-B245</f>
        <v>75.541999998814447</v>
      </c>
      <c r="L245" s="302">
        <f>D250-D245</f>
        <v>64.812000000969761</v>
      </c>
      <c r="M245" s="302">
        <f>F250-F245</f>
        <v>6.7389999997178691</v>
      </c>
      <c r="N245" s="302">
        <f>SUM(K245:M245)</f>
        <v>147.09299999950207</v>
      </c>
    </row>
    <row r="246" spans="1:14" x14ac:dyDescent="0.3">
      <c r="A246" s="282" t="s">
        <v>356</v>
      </c>
      <c r="B246" s="302">
        <f>'Ind T6'!Q294</f>
        <v>394.25700000915225</v>
      </c>
      <c r="C246" s="299" t="str">
        <f>CONCATENATE("(",ROUND((B246/$H247)*100,1),")")</f>
        <v>(18.5)</v>
      </c>
      <c r="D246" s="302">
        <f>'Ind T6'!R294</f>
        <v>681.41600003173755</v>
      </c>
      <c r="E246" s="299" t="str">
        <f>CONCATENATE("(",ROUND((D246/$H247)*100,1),")")</f>
        <v>(31.9)</v>
      </c>
      <c r="F246" s="302">
        <f>'Ind T6'!S294</f>
        <v>69.663000000129003</v>
      </c>
      <c r="G246" s="299" t="str">
        <f>CONCATENATE("(",ROUND((F246/$H247)*100,1),")")</f>
        <v>(3.3)</v>
      </c>
      <c r="H246" s="302">
        <f t="shared" ref="H246" si="191">SUM(B246,D246,F246)</f>
        <v>1145.3360000410187</v>
      </c>
      <c r="I246" s="299" t="str">
        <f>CONCATENATE("(",ROUND((H246/$H247)*100,1),")")</f>
        <v>(53.7)</v>
      </c>
      <c r="K246" s="302">
        <f t="shared" ref="K246:K247" si="192">B251-B246</f>
        <v>57.782999988333245</v>
      </c>
      <c r="L246" s="302">
        <f t="shared" ref="L246:L247" si="193">D251-D246</f>
        <v>93.10499995965165</v>
      </c>
      <c r="M246" s="302">
        <f t="shared" ref="M246:M247" si="194">F251-F246</f>
        <v>9.8979999992322831</v>
      </c>
      <c r="N246" s="302">
        <f t="shared" ref="N246:N247" si="195">SUM(K246:M246)</f>
        <v>160.78599994721719</v>
      </c>
    </row>
    <row r="247" spans="1:14" x14ac:dyDescent="0.3">
      <c r="A247" s="282" t="s">
        <v>354</v>
      </c>
      <c r="B247" s="302">
        <f>SUM(B245:B246)</f>
        <v>871.98000000895809</v>
      </c>
      <c r="C247" s="299" t="str">
        <f>CONCATENATE("(",ROUND((B247/$H247)*100,1),")")</f>
        <v>(40.9)</v>
      </c>
      <c r="D247" s="302">
        <f>SUM(D245:D246)</f>
        <v>1145.2350000317062</v>
      </c>
      <c r="E247" s="299" t="str">
        <f>CONCATENATE("(",ROUND((D247/$H247)*100,1),")")</f>
        <v>(53.7)</v>
      </c>
      <c r="F247" s="302">
        <f>SUM(F245:F246)</f>
        <v>116.26600000118344</v>
      </c>
      <c r="G247" s="299" t="str">
        <f>CONCATENATE("(",ROUND((F247/$H247)*100,1),")")</f>
        <v>(5.4)</v>
      </c>
      <c r="H247" s="302">
        <f>SUM(H245:H246)</f>
        <v>2133.4810000418474</v>
      </c>
      <c r="I247" s="299" t="str">
        <f>CONCATENATE("(",ROUND((H247/$H247)*100,1),")")</f>
        <v>(100)</v>
      </c>
      <c r="K247" s="302">
        <f t="shared" si="192"/>
        <v>133.32499998714775</v>
      </c>
      <c r="L247" s="302">
        <f t="shared" si="193"/>
        <v>157.9169999606213</v>
      </c>
      <c r="M247" s="302">
        <f t="shared" si="194"/>
        <v>16.636999998950159</v>
      </c>
      <c r="N247" s="302">
        <f t="shared" si="195"/>
        <v>307.8789999467192</v>
      </c>
    </row>
    <row r="248" spans="1:14" x14ac:dyDescent="0.3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3">
      <c r="A250" s="282" t="s">
        <v>355</v>
      </c>
      <c r="B250" s="302">
        <f>'Ind T6'!V295</f>
        <v>553.26499999862028</v>
      </c>
      <c r="C250" s="299" t="str">
        <f>CONCATENATE("(",ROUND((B250/$H252)*100,1),")")</f>
        <v>(22.7)</v>
      </c>
      <c r="D250" s="302">
        <f>'Ind T6'!W295</f>
        <v>528.63100000093846</v>
      </c>
      <c r="E250" s="299" t="str">
        <f>CONCATENATE("(",ROUND((D250/$H252)*100,1),")")</f>
        <v>(21.7)</v>
      </c>
      <c r="F250" s="302">
        <f>'Ind T6'!X295</f>
        <v>53.342000000772316</v>
      </c>
      <c r="G250" s="299" t="str">
        <f>CONCATENATE("(",ROUND((F250/$H252)*100,1),")")</f>
        <v>(2.2)</v>
      </c>
      <c r="H250" s="302">
        <f>SUM(B250,D250,F250)</f>
        <v>1135.2380000003309</v>
      </c>
      <c r="I250" s="299" t="str">
        <f>CONCATENATE("(",ROUND((H250/$H252)*100,1),")")</f>
        <v>(46.5)</v>
      </c>
      <c r="K250" s="302">
        <f>B250-B240</f>
        <v>100.88500000083616</v>
      </c>
      <c r="L250" s="302">
        <f>D250-D240</f>
        <v>81.59700000289439</v>
      </c>
      <c r="M250" s="302">
        <f>F250-F240</f>
        <v>9.5680000002871495</v>
      </c>
      <c r="N250" s="302">
        <f>SUM(K250:M250)</f>
        <v>192.0500000040177</v>
      </c>
    </row>
    <row r="251" spans="1:14" x14ac:dyDescent="0.3">
      <c r="A251" s="282" t="s">
        <v>356</v>
      </c>
      <c r="B251" s="302">
        <f>'Ind T6'!V294</f>
        <v>452.03999999748549</v>
      </c>
      <c r="C251" s="299" t="str">
        <f>CONCATENATE("(",ROUND((B251/$H252)*100,1),")")</f>
        <v>(18.5)</v>
      </c>
      <c r="D251" s="302">
        <f>'Ind T6'!W294</f>
        <v>774.5209999913892</v>
      </c>
      <c r="E251" s="299" t="str">
        <f>CONCATENATE("(",ROUND((D251/$H252)*100,1),")")</f>
        <v>(31.7)</v>
      </c>
      <c r="F251" s="302">
        <f>'Ind T6'!X294</f>
        <v>79.560999999361286</v>
      </c>
      <c r="G251" s="299" t="str">
        <f>CONCATENATE("(",ROUND((F251/$H252)*100,1),")")</f>
        <v>(3.3)</v>
      </c>
      <c r="H251" s="302">
        <f t="shared" ref="H251" si="196">SUM(B251,D251,F251)</f>
        <v>1306.121999988236</v>
      </c>
      <c r="I251" s="299" t="str">
        <f>CONCATENATE("(",ROUND((H251/$H252)*100,1),")")</f>
        <v>(53.5)</v>
      </c>
      <c r="K251" s="302">
        <f t="shared" ref="K251:K252" si="197">B251-B241</f>
        <v>77.422000000049991</v>
      </c>
      <c r="L251" s="302">
        <f t="shared" ref="L251:L252" si="198">D251-D241</f>
        <v>121.2369999741303</v>
      </c>
      <c r="M251" s="302">
        <f t="shared" ref="M251:M252" si="199">F251-F241</f>
        <v>14.552000000611898</v>
      </c>
      <c r="N251" s="302">
        <f t="shared" ref="N251:N252" si="200">SUM(K251:M251)</f>
        <v>213.21099997479217</v>
      </c>
    </row>
    <row r="252" spans="1:14" x14ac:dyDescent="0.3">
      <c r="A252" s="282" t="s">
        <v>354</v>
      </c>
      <c r="B252" s="302">
        <f>SUM(B250:B251)</f>
        <v>1005.3049999961058</v>
      </c>
      <c r="C252" s="299" t="str">
        <f>CONCATENATE("(",ROUND((B252/$H252)*100,1),")")</f>
        <v>(41.2)</v>
      </c>
      <c r="D252" s="302">
        <f>SUM(D250:D251)</f>
        <v>1303.1519999923275</v>
      </c>
      <c r="E252" s="299" t="str">
        <f>CONCATENATE("(",ROUND((D252/$H252)*100,1),")")</f>
        <v>(53.4)</v>
      </c>
      <c r="F252" s="302">
        <f>SUM(F250:F251)</f>
        <v>132.9030000001336</v>
      </c>
      <c r="G252" s="299" t="str">
        <f>CONCATENATE("(",ROUND((F252/$H252)*100,1),")")</f>
        <v>(5.4)</v>
      </c>
      <c r="H252" s="302">
        <f>SUM(H250:H251)</f>
        <v>2441.3599999885669</v>
      </c>
      <c r="I252" s="299" t="str">
        <f>CONCATENATE("(",ROUND((H252/$H252)*100,1),")")</f>
        <v>(100)</v>
      </c>
      <c r="K252" s="302">
        <f t="shared" si="197"/>
        <v>178.30700000088621</v>
      </c>
      <c r="L252" s="302">
        <f t="shared" si="198"/>
        <v>202.83399997702463</v>
      </c>
      <c r="M252" s="302">
        <f t="shared" si="199"/>
        <v>24.12000000089904</v>
      </c>
      <c r="N252" s="302">
        <f t="shared" si="200"/>
        <v>405.26099997880988</v>
      </c>
    </row>
    <row r="253" spans="1:14" x14ac:dyDescent="0.3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3">
      <c r="C256" s="181"/>
      <c r="E256" s="181"/>
      <c r="G256" s="181"/>
      <c r="I256" s="181"/>
    </row>
    <row r="257" spans="1:14" x14ac:dyDescent="0.3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3">
      <c r="N258" s="287" t="s">
        <v>377</v>
      </c>
    </row>
    <row r="259" spans="1:14" x14ac:dyDescent="0.3">
      <c r="A259" s="181" t="s">
        <v>378</v>
      </c>
      <c r="B259" s="370" t="s">
        <v>376</v>
      </c>
      <c r="C259" s="370"/>
      <c r="D259" s="370" t="s">
        <v>375</v>
      </c>
      <c r="E259" s="370"/>
      <c r="F259" s="370" t="s">
        <v>374</v>
      </c>
      <c r="G259" s="370"/>
      <c r="H259" s="370" t="s">
        <v>32</v>
      </c>
      <c r="I259" s="370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3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3">
      <c r="A261" s="282" t="s">
        <v>355</v>
      </c>
      <c r="B261" s="302">
        <f>'Ind T6'!L320</f>
        <v>117.13499999995165</v>
      </c>
      <c r="C261" s="299" t="str">
        <f>CONCATENATE("(",ROUND((B261/$H263)*100,1),")")</f>
        <v>(33.6)</v>
      </c>
      <c r="D261" s="302">
        <f>'Ind T6'!M320</f>
        <v>23.124000000035419</v>
      </c>
      <c r="E261" s="299" t="str">
        <f>CONCATENATE("(",ROUND((D261/$H263)*100,1),")")</f>
        <v>(6.6)</v>
      </c>
      <c r="F261" s="302">
        <f>'Ind T6'!N320</f>
        <v>48.857000001632969</v>
      </c>
      <c r="G261" s="299" t="str">
        <f>CONCATENATE("(",ROUND((F261/$H263)*100,1),")")</f>
        <v>(14)</v>
      </c>
      <c r="H261" s="302">
        <f>SUM(B261,D261,F261)</f>
        <v>189.11600000162002</v>
      </c>
      <c r="I261" s="299" t="str">
        <f>CONCATENATE("(",ROUND((H261/$H263)*100,1),")")</f>
        <v>(54.3)</v>
      </c>
      <c r="K261" s="302">
        <f>B266-B261</f>
        <v>1.0260000002643181</v>
      </c>
      <c r="L261" s="302">
        <f>D266-D261</f>
        <v>0.9640000000000235</v>
      </c>
      <c r="M261" s="302">
        <f>F266-F261</f>
        <v>0.81900000202259093</v>
      </c>
      <c r="N261" s="302">
        <f>SUM(K261:M261)</f>
        <v>2.8090000022869326</v>
      </c>
    </row>
    <row r="262" spans="1:14" x14ac:dyDescent="0.3">
      <c r="A262" s="282" t="s">
        <v>356</v>
      </c>
      <c r="B262" s="302">
        <f>'Ind T6'!L319</f>
        <v>92.111999999799281</v>
      </c>
      <c r="C262" s="299" t="str">
        <f>CONCATENATE("(",ROUND((B262/$H263)*100,1),")")</f>
        <v>(26.4)</v>
      </c>
      <c r="D262" s="302">
        <f>'Ind T6'!M319</f>
        <v>32.489000000060486</v>
      </c>
      <c r="E262" s="299" t="str">
        <f>CONCATENATE("(",ROUND((D262/$H263)*100,1),")")</f>
        <v>(9.3)</v>
      </c>
      <c r="F262" s="302">
        <f>'Ind T6'!N319</f>
        <v>34.652999999242496</v>
      </c>
      <c r="G262" s="299" t="str">
        <f>CONCATENATE("(",ROUND((F262/$H263)*100,1),")")</f>
        <v>(9.9)</v>
      </c>
      <c r="H262" s="302">
        <f t="shared" ref="H262" si="201">SUM(B262,D262,F262)</f>
        <v>159.25399999910226</v>
      </c>
      <c r="I262" s="299" t="str">
        <f>CONCATENATE("(",ROUND((H262/$H263)*100,1),")")</f>
        <v>(45.7)</v>
      </c>
      <c r="K262" s="302">
        <f t="shared" ref="K262:K263" si="202">B267-B262</f>
        <v>1.5620000018089257</v>
      </c>
      <c r="L262" s="302">
        <f t="shared" ref="L262:L263" si="203">D267-D262</f>
        <v>0.42600000007221439</v>
      </c>
      <c r="M262" s="302">
        <f t="shared" ref="M262:M263" si="204">F267-F262</f>
        <v>-0.43299999952051138</v>
      </c>
      <c r="N262" s="302">
        <f t="shared" ref="N262:N263" si="205">SUM(K262:M262)</f>
        <v>1.5550000023606287</v>
      </c>
    </row>
    <row r="263" spans="1:14" x14ac:dyDescent="0.3">
      <c r="A263" s="282" t="s">
        <v>354</v>
      </c>
      <c r="B263" s="302">
        <f>SUM(B261:B262)</f>
        <v>209.24699999975093</v>
      </c>
      <c r="C263" s="299" t="str">
        <f>CONCATENATE("(",ROUND((B263/$H263)*100,1),")")</f>
        <v>(60.1)</v>
      </c>
      <c r="D263" s="302">
        <f>SUM(D261:D262)</f>
        <v>55.613000000095909</v>
      </c>
      <c r="E263" s="299" t="str">
        <f>CONCATENATE("(",ROUND((D263/$H263)*100,1),")")</f>
        <v>(16)</v>
      </c>
      <c r="F263" s="302">
        <f>SUM(F261:F262)</f>
        <v>83.510000000875465</v>
      </c>
      <c r="G263" s="299" t="str">
        <f>CONCATENATE("(",ROUND((F263/$H263)*100,1),")")</f>
        <v>(24)</v>
      </c>
      <c r="H263" s="302">
        <f>SUM(H261:H262)</f>
        <v>348.37000000072226</v>
      </c>
      <c r="I263" s="299" t="str">
        <f>CONCATENATE("(",ROUND((H263/$H263)*100,1),")")</f>
        <v>(100)</v>
      </c>
      <c r="K263" s="302">
        <f t="shared" si="202"/>
        <v>2.5880000020732439</v>
      </c>
      <c r="L263" s="302">
        <f t="shared" si="203"/>
        <v>1.3900000000722343</v>
      </c>
      <c r="M263" s="302">
        <f t="shared" si="204"/>
        <v>0.38600000250207245</v>
      </c>
      <c r="N263" s="302">
        <f t="shared" si="205"/>
        <v>4.3640000046475507</v>
      </c>
    </row>
    <row r="264" spans="1:14" x14ac:dyDescent="0.3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3">
      <c r="A266" s="282" t="s">
        <v>355</v>
      </c>
      <c r="B266" s="302">
        <f>'Ind T6'!Q320</f>
        <v>118.16100000021596</v>
      </c>
      <c r="C266" s="299" t="str">
        <f>CONCATENATE("(",ROUND((B266/$H268)*100,1),")")</f>
        <v>(33.5)</v>
      </c>
      <c r="D266" s="302">
        <f>'Ind T6'!R320</f>
        <v>24.088000000035443</v>
      </c>
      <c r="E266" s="299" t="str">
        <f>CONCATENATE("(",ROUND((D266/$H268)*100,1),")")</f>
        <v>(6.8)</v>
      </c>
      <c r="F266" s="302">
        <f>'Ind T6'!S320</f>
        <v>49.67600000365556</v>
      </c>
      <c r="G266" s="299" t="str">
        <f>CONCATENATE("(",ROUND((F266/$H268)*100,1),")")</f>
        <v>(14.1)</v>
      </c>
      <c r="H266" s="302">
        <f>SUM(B266,D266,F266)</f>
        <v>191.92500000390697</v>
      </c>
      <c r="I266" s="299" t="str">
        <f>CONCATENATE("(",ROUND((H266/$H268)*100,1),")")</f>
        <v>(54.4)</v>
      </c>
      <c r="K266" s="302">
        <f>B271-B266</f>
        <v>0.14400000000068758</v>
      </c>
      <c r="L266" s="302">
        <f>D271-D266</f>
        <v>1.7050000000062155</v>
      </c>
      <c r="M266" s="302">
        <f>F271-F266</f>
        <v>1.0479999991540794</v>
      </c>
      <c r="N266" s="302">
        <f>SUM(K266:M266)</f>
        <v>2.8969999991609825</v>
      </c>
    </row>
    <row r="267" spans="1:14" x14ac:dyDescent="0.3">
      <c r="A267" s="282" t="s">
        <v>356</v>
      </c>
      <c r="B267" s="302">
        <f>'Ind T6'!Q319</f>
        <v>93.674000001608206</v>
      </c>
      <c r="C267" s="299" t="str">
        <f>CONCATENATE("(",ROUND((B267/$H268)*100,1),")")</f>
        <v>(26.6)</v>
      </c>
      <c r="D267" s="302">
        <f>'Ind T6'!R319</f>
        <v>32.9150000001327</v>
      </c>
      <c r="E267" s="299" t="str">
        <f>CONCATENATE("(",ROUND((D267/$H268)*100,1),")")</f>
        <v>(9.3)</v>
      </c>
      <c r="F267" s="302">
        <f>'Ind T6'!S319</f>
        <v>34.219999999721985</v>
      </c>
      <c r="G267" s="299" t="str">
        <f>CONCATENATE("(",ROUND((F267/$H268)*100,1),")")</f>
        <v>(9.7)</v>
      </c>
      <c r="H267" s="302">
        <f t="shared" ref="H267" si="206">SUM(B267,D267,F267)</f>
        <v>160.80900000146289</v>
      </c>
      <c r="I267" s="299" t="str">
        <f>CONCATENATE("(",ROUND((H267/$H268)*100,1),")")</f>
        <v>(45.6)</v>
      </c>
      <c r="K267" s="302">
        <f t="shared" ref="K267:K268" si="207">B272-B267</f>
        <v>1.9219999985649707</v>
      </c>
      <c r="L267" s="302">
        <f t="shared" ref="L267:L268" si="208">D272-D267</f>
        <v>0.3209999997418862</v>
      </c>
      <c r="M267" s="302">
        <f t="shared" ref="M267:M268" si="209">F272-F267</f>
        <v>-1.258999999509868</v>
      </c>
      <c r="N267" s="302">
        <f t="shared" ref="N267:N268" si="210">SUM(K267:M267)</f>
        <v>0.98399999879698896</v>
      </c>
    </row>
    <row r="268" spans="1:14" x14ac:dyDescent="0.3">
      <c r="A268" s="282" t="s">
        <v>354</v>
      </c>
      <c r="B268" s="302">
        <f>SUM(B266:B267)</f>
        <v>211.83500000182417</v>
      </c>
      <c r="C268" s="299" t="str">
        <f>CONCATENATE("(",ROUND((B268/$H268)*100,1),")")</f>
        <v>(60.1)</v>
      </c>
      <c r="D268" s="302">
        <f>SUM(D266:D267)</f>
        <v>57.003000000168143</v>
      </c>
      <c r="E268" s="299" t="str">
        <f>CONCATENATE("(",ROUND((D268/$H268)*100,1),")")</f>
        <v>(16.2)</v>
      </c>
      <c r="F268" s="302">
        <f>SUM(F266:F267)</f>
        <v>83.896000003377537</v>
      </c>
      <c r="G268" s="299" t="str">
        <f>CONCATENATE("(",ROUND((F268/$H268)*100,1),")")</f>
        <v>(23.8)</v>
      </c>
      <c r="H268" s="302">
        <f>SUM(H266:H267)</f>
        <v>352.73400000536986</v>
      </c>
      <c r="I268" s="299" t="str">
        <f>CONCATENATE("(",ROUND((H268/$H268)*100,1),")")</f>
        <v>(100)</v>
      </c>
      <c r="K268" s="302">
        <f t="shared" si="207"/>
        <v>2.0659999985656725</v>
      </c>
      <c r="L268" s="302">
        <f t="shared" si="208"/>
        <v>2.0259999997481017</v>
      </c>
      <c r="M268" s="302">
        <f t="shared" si="209"/>
        <v>-0.21100000035578148</v>
      </c>
      <c r="N268" s="302">
        <f t="shared" si="210"/>
        <v>3.8809999979579928</v>
      </c>
    </row>
    <row r="269" spans="1:14" x14ac:dyDescent="0.3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3">
      <c r="A271" s="282" t="s">
        <v>355</v>
      </c>
      <c r="B271" s="302">
        <f>'Ind T6'!V320</f>
        <v>118.30500000021665</v>
      </c>
      <c r="C271" s="299" t="str">
        <f>CONCATENATE("(",ROUND((B271/$H273)*100,1),")")</f>
        <v>(33.2)</v>
      </c>
      <c r="D271" s="302">
        <f>'Ind T6'!W320</f>
        <v>25.793000000041658</v>
      </c>
      <c r="E271" s="299" t="str">
        <f>CONCATENATE("(",ROUND((D271/$H273)*100,1),")")</f>
        <v>(7.2)</v>
      </c>
      <c r="F271" s="302">
        <f>'Ind T6'!X320</f>
        <v>50.724000002809639</v>
      </c>
      <c r="G271" s="299" t="str">
        <f>CONCATENATE("(",ROUND((F271/$H273)*100,1),")")</f>
        <v>(14.2)</v>
      </c>
      <c r="H271" s="302">
        <f>SUM(B271,D271,F271)</f>
        <v>194.82200000306796</v>
      </c>
      <c r="I271" s="299" t="str">
        <f>CONCATENATE("(",ROUND((H271/$H273)*100,1),")")</f>
        <v>(54.6)</v>
      </c>
      <c r="K271" s="302">
        <f>B271-B261</f>
        <v>1.1700000002650057</v>
      </c>
      <c r="L271" s="302">
        <f>D271-D261</f>
        <v>2.669000000006239</v>
      </c>
      <c r="M271" s="302">
        <f>F271-F261</f>
        <v>1.8670000011766703</v>
      </c>
      <c r="N271" s="302">
        <f>SUM(K271:M271)</f>
        <v>5.7060000014479151</v>
      </c>
    </row>
    <row r="272" spans="1:14" x14ac:dyDescent="0.3">
      <c r="A272" s="282" t="s">
        <v>356</v>
      </c>
      <c r="B272" s="302">
        <f>'Ind T6'!V319</f>
        <v>95.596000000173177</v>
      </c>
      <c r="C272" s="299" t="str">
        <f>CONCATENATE("(",ROUND((B272/$H273)*100,1),")")</f>
        <v>(26.8)</v>
      </c>
      <c r="D272" s="302">
        <f>'Ind T6'!W319</f>
        <v>33.235999999874586</v>
      </c>
      <c r="E272" s="299" t="str">
        <f>CONCATENATE("(",ROUND((D272/$H273)*100,1),")")</f>
        <v>(9.3)</v>
      </c>
      <c r="F272" s="302">
        <f>'Ind T6'!X319</f>
        <v>32.961000000212117</v>
      </c>
      <c r="G272" s="299" t="str">
        <f>CONCATENATE("(",ROUND((F272/$H273)*100,1),")")</f>
        <v>(9.2)</v>
      </c>
      <c r="H272" s="302">
        <f t="shared" ref="H272" si="211">SUM(B272,D272,F272)</f>
        <v>161.79300000025989</v>
      </c>
      <c r="I272" s="299" t="str">
        <f>CONCATENATE("(",ROUND((H272/$H273)*100,1),")")</f>
        <v>(45.4)</v>
      </c>
      <c r="K272" s="302">
        <f t="shared" ref="K272:K273" si="212">B272-B262</f>
        <v>3.4840000003738965</v>
      </c>
      <c r="L272" s="302">
        <f t="shared" ref="L272:L273" si="213">D272-D262</f>
        <v>0.74699999981410059</v>
      </c>
      <c r="M272" s="302">
        <f t="shared" ref="M272:M273" si="214">F272-F262</f>
        <v>-1.6919999990303793</v>
      </c>
      <c r="N272" s="302">
        <f t="shared" ref="N272:N273" si="215">SUM(K272:M272)</f>
        <v>2.5390000011576177</v>
      </c>
    </row>
    <row r="273" spans="1:14" x14ac:dyDescent="0.3">
      <c r="A273" s="282" t="s">
        <v>354</v>
      </c>
      <c r="B273" s="302">
        <f>SUM(B271:B272)</f>
        <v>213.90100000038984</v>
      </c>
      <c r="C273" s="299" t="str">
        <f>CONCATENATE("(",ROUND((B273/$H273)*100,1),")")</f>
        <v>(60)</v>
      </c>
      <c r="D273" s="302">
        <f>SUM(D271:D272)</f>
        <v>59.028999999916245</v>
      </c>
      <c r="E273" s="299" t="str">
        <f>CONCATENATE("(",ROUND((D273/$H273)*100,1),")")</f>
        <v>(16.6)</v>
      </c>
      <c r="F273" s="302">
        <f>SUM(F271:F272)</f>
        <v>83.685000003021756</v>
      </c>
      <c r="G273" s="299" t="str">
        <f>CONCATENATE("(",ROUND((F273/$H273)*100,1),")")</f>
        <v>(23.5)</v>
      </c>
      <c r="H273" s="302">
        <f>SUM(H271:H272)</f>
        <v>356.61500000332785</v>
      </c>
      <c r="I273" s="299" t="str">
        <f>CONCATENATE("(",ROUND((H273/$H273)*100,1),")")</f>
        <v>(100)</v>
      </c>
      <c r="K273" s="302">
        <f t="shared" si="212"/>
        <v>4.6540000006389164</v>
      </c>
      <c r="L273" s="302">
        <f t="shared" si="213"/>
        <v>3.4159999998203361</v>
      </c>
      <c r="M273" s="302">
        <f t="shared" si="214"/>
        <v>0.17500000214629097</v>
      </c>
      <c r="N273" s="302">
        <f t="shared" si="215"/>
        <v>8.2450000026055434</v>
      </c>
    </row>
    <row r="274" spans="1:14" x14ac:dyDescent="0.3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3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3">
      <c r="N279" s="287" t="s">
        <v>377</v>
      </c>
    </row>
    <row r="280" spans="1:14" x14ac:dyDescent="0.3">
      <c r="A280" s="181" t="s">
        <v>378</v>
      </c>
      <c r="B280" s="370" t="s">
        <v>376</v>
      </c>
      <c r="C280" s="370"/>
      <c r="D280" s="370" t="s">
        <v>375</v>
      </c>
      <c r="E280" s="370"/>
      <c r="F280" s="370" t="s">
        <v>374</v>
      </c>
      <c r="G280" s="370"/>
      <c r="H280" s="370" t="s">
        <v>32</v>
      </c>
      <c r="I280" s="370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3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3">
      <c r="A282" s="282" t="s">
        <v>355</v>
      </c>
      <c r="B282" s="302">
        <f>'Ind T6'!L345</f>
        <v>601.09199999660632</v>
      </c>
      <c r="C282" s="299" t="str">
        <f>CONCATENATE("(",ROUND((B282/$H284)*100,1),")")</f>
        <v>(60)</v>
      </c>
      <c r="D282" s="302">
        <f>'Ind T6'!M345</f>
        <v>43.161999999962731</v>
      </c>
      <c r="E282" s="299" t="str">
        <f>CONCATENATE("(",ROUND((D282/$H284)*100,1),")")</f>
        <v>(4.3)</v>
      </c>
      <c r="F282" s="302">
        <f>'Ind T6'!N345</f>
        <v>66.229000001110748</v>
      </c>
      <c r="G282" s="299" t="str">
        <f>CONCATENATE("(",ROUND((F282/$H284)*100,1),")")</f>
        <v>(6.6)</v>
      </c>
      <c r="H282" s="302">
        <f>SUM(B282,D282,F282)</f>
        <v>710.48299999767983</v>
      </c>
      <c r="I282" s="299" t="str">
        <f>CONCATENATE("(",ROUND((H282/$H284)*100,1),")")</f>
        <v>(71)</v>
      </c>
      <c r="K282" s="302">
        <f>B287-B282</f>
        <v>38.699000003081437</v>
      </c>
      <c r="L282" s="302">
        <f>D287-D282</f>
        <v>3.4019999999284281</v>
      </c>
      <c r="M282" s="302">
        <f>F287-F282</f>
        <v>6.3050000017515657</v>
      </c>
      <c r="N282" s="302">
        <f>SUM(K282:M282)</f>
        <v>48.406000004761431</v>
      </c>
    </row>
    <row r="283" spans="1:14" x14ac:dyDescent="0.3">
      <c r="A283" s="282" t="s">
        <v>356</v>
      </c>
      <c r="B283" s="302">
        <f>'Ind T6'!L344</f>
        <v>224.40699999825785</v>
      </c>
      <c r="C283" s="299" t="str">
        <f>CONCATENATE("(",ROUND((B283/$H284)*100,1),")")</f>
        <v>(22.4)</v>
      </c>
      <c r="D283" s="302">
        <f>'Ind T6'!M344</f>
        <v>47.947999999731685</v>
      </c>
      <c r="E283" s="299" t="str">
        <f>CONCATENATE("(",ROUND((D283/$H284)*100,1),")")</f>
        <v>(4.8)</v>
      </c>
      <c r="F283" s="302">
        <f>'Ind T6'!N344</f>
        <v>18.26199999966267</v>
      </c>
      <c r="G283" s="299" t="str">
        <f>CONCATENATE("(",ROUND((F283/$H284)*100,1),")")</f>
        <v>(1.8)</v>
      </c>
      <c r="H283" s="302">
        <f t="shared" ref="H283" si="216">SUM(B283,D283,F283)</f>
        <v>290.61699999765221</v>
      </c>
      <c r="I283" s="299" t="str">
        <f>CONCATENATE("(",ROUND((H283/$H284)*100,1),")")</f>
        <v>(29)</v>
      </c>
      <c r="K283" s="302">
        <f t="shared" ref="K283:K284" si="217">B288-B283</f>
        <v>21.905000006688795</v>
      </c>
      <c r="L283" s="302">
        <f t="shared" ref="L283:L284" si="218">D288-D283</f>
        <v>2.7040000000535116</v>
      </c>
      <c r="M283" s="302">
        <f t="shared" ref="M283:M284" si="219">F288-F283</f>
        <v>1.6340000001510582</v>
      </c>
      <c r="N283" s="302">
        <f t="shared" ref="N283:N284" si="220">SUM(K283:M283)</f>
        <v>26.243000006893364</v>
      </c>
    </row>
    <row r="284" spans="1:14" x14ac:dyDescent="0.3">
      <c r="A284" s="282" t="s">
        <v>354</v>
      </c>
      <c r="B284" s="302">
        <f>SUM(B282:B283)</f>
        <v>825.49899999486411</v>
      </c>
      <c r="C284" s="299" t="str">
        <f>CONCATENATE("(",ROUND((B284/$H284)*100,1),")")</f>
        <v>(82.5)</v>
      </c>
      <c r="D284" s="302">
        <f>SUM(D282:D283)</f>
        <v>91.109999999694423</v>
      </c>
      <c r="E284" s="299" t="str">
        <f>CONCATENATE("(",ROUND((D284/$H284)*100,1),")")</f>
        <v>(9.1)</v>
      </c>
      <c r="F284" s="302">
        <f>SUM(F282:F283)</f>
        <v>84.491000000773425</v>
      </c>
      <c r="G284" s="299" t="str">
        <f>CONCATENATE("(",ROUND((F284/$H284)*100,1),")")</f>
        <v>(8.4)</v>
      </c>
      <c r="H284" s="302">
        <f>SUM(H282:H283)</f>
        <v>1001.099999995332</v>
      </c>
      <c r="I284" s="299" t="str">
        <f>CONCATENATE("(",ROUND((H284/$H284)*100,1),")")</f>
        <v>(100)</v>
      </c>
      <c r="K284" s="302">
        <f t="shared" si="217"/>
        <v>60.604000009770289</v>
      </c>
      <c r="L284" s="302">
        <f t="shared" si="218"/>
        <v>6.1059999999819325</v>
      </c>
      <c r="M284" s="302">
        <f t="shared" si="219"/>
        <v>7.9390000019026132</v>
      </c>
      <c r="N284" s="302">
        <f t="shared" si="220"/>
        <v>74.649000011654834</v>
      </c>
    </row>
    <row r="285" spans="1:14" x14ac:dyDescent="0.3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3">
      <c r="A287" s="282" t="s">
        <v>355</v>
      </c>
      <c r="B287" s="302">
        <f>'Ind T6'!Q345</f>
        <v>639.79099999968776</v>
      </c>
      <c r="C287" s="299" t="str">
        <f>CONCATENATE("(",ROUND((B287/$H289)*100,1),")")</f>
        <v>(59.5)</v>
      </c>
      <c r="D287" s="302">
        <f>'Ind T6'!R345</f>
        <v>46.563999999891159</v>
      </c>
      <c r="E287" s="299" t="str">
        <f>CONCATENATE("(",ROUND((D287/$H289)*100,1),")")</f>
        <v>(4.3)</v>
      </c>
      <c r="F287" s="302">
        <f>'Ind T6'!S345</f>
        <v>72.534000002862314</v>
      </c>
      <c r="G287" s="299" t="str">
        <f>CONCATENATE("(",ROUND((F287/$H289)*100,1),")")</f>
        <v>(6.7)</v>
      </c>
      <c r="H287" s="302">
        <f>SUM(B287,D287,F287)</f>
        <v>758.88900000244121</v>
      </c>
      <c r="I287" s="299" t="str">
        <f>CONCATENATE("(",ROUND((H287/$H289)*100,1),")")</f>
        <v>(70.5)</v>
      </c>
      <c r="K287" s="302">
        <f>B292-B287</f>
        <v>41.32099999733623</v>
      </c>
      <c r="L287" s="302">
        <f>D292-D287</f>
        <v>3.8789999998735709</v>
      </c>
      <c r="M287" s="302">
        <f>F292-F287</f>
        <v>7.0789999989499961</v>
      </c>
      <c r="N287" s="302">
        <f>SUM(K287:M287)</f>
        <v>52.278999996159797</v>
      </c>
    </row>
    <row r="288" spans="1:14" x14ac:dyDescent="0.3">
      <c r="A288" s="282" t="s">
        <v>356</v>
      </c>
      <c r="B288" s="302">
        <f>'Ind T6'!Q344</f>
        <v>246.31200000494664</v>
      </c>
      <c r="C288" s="299" t="str">
        <f>CONCATENATE("(",ROUND((B288/$H289)*100,1),")")</f>
        <v>(22.9)</v>
      </c>
      <c r="D288" s="302">
        <f>'Ind T6'!R344</f>
        <v>50.651999999785197</v>
      </c>
      <c r="E288" s="299" t="str">
        <f>CONCATENATE("(",ROUND((D288/$H289)*100,1),")")</f>
        <v>(4.7)</v>
      </c>
      <c r="F288" s="302">
        <f>'Ind T6'!S344</f>
        <v>19.895999999813728</v>
      </c>
      <c r="G288" s="299" t="str">
        <f>CONCATENATE("(",ROUND((F288/$H289)*100,1),")")</f>
        <v>(1.8)</v>
      </c>
      <c r="H288" s="302">
        <f t="shared" ref="H288" si="221">SUM(B288,D288,F288)</f>
        <v>316.86000000454555</v>
      </c>
      <c r="I288" s="299" t="str">
        <f>CONCATENATE("(",ROUND((H288/$H289)*100,1),")")</f>
        <v>(29.5)</v>
      </c>
      <c r="K288" s="302">
        <f t="shared" ref="K288:K289" si="222">B293-B288</f>
        <v>30.34499999524985</v>
      </c>
      <c r="L288" s="302">
        <f t="shared" ref="L288:L289" si="223">D293-D288</f>
        <v>1.9290000003991139</v>
      </c>
      <c r="M288" s="302">
        <f t="shared" ref="M288:M289" si="224">F293-F288</f>
        <v>1.611000000200459</v>
      </c>
      <c r="N288" s="302">
        <f t="shared" ref="N288:N289" si="225">SUM(K288:M288)</f>
        <v>33.884999995849427</v>
      </c>
    </row>
    <row r="289" spans="1:14" x14ac:dyDescent="0.3">
      <c r="A289" s="282" t="s">
        <v>354</v>
      </c>
      <c r="B289" s="302">
        <f>SUM(B287:B288)</f>
        <v>886.1030000046344</v>
      </c>
      <c r="C289" s="299" t="str">
        <f>CONCATENATE("(",ROUND((B289/$H289)*100,1),")")</f>
        <v>(82.4)</v>
      </c>
      <c r="D289" s="302">
        <f>SUM(D287:D288)</f>
        <v>97.215999999676356</v>
      </c>
      <c r="E289" s="299" t="str">
        <f>CONCATENATE("(",ROUND((D289/$H289)*100,1),")")</f>
        <v>(9)</v>
      </c>
      <c r="F289" s="302">
        <f>SUM(F287:F288)</f>
        <v>92.430000002676039</v>
      </c>
      <c r="G289" s="299" t="str">
        <f>CONCATENATE("(",ROUND((F289/$H289)*100,1),")")</f>
        <v>(8.6)</v>
      </c>
      <c r="H289" s="302">
        <f>SUM(H287:H288)</f>
        <v>1075.7490000069868</v>
      </c>
      <c r="I289" s="299" t="str">
        <f>CONCATENATE("(",ROUND((H289/$H289)*100,1),")")</f>
        <v>(100)</v>
      </c>
      <c r="K289" s="302">
        <f t="shared" si="222"/>
        <v>71.66599999258608</v>
      </c>
      <c r="L289" s="302">
        <f t="shared" si="223"/>
        <v>5.8080000002726848</v>
      </c>
      <c r="M289" s="302">
        <f t="shared" si="224"/>
        <v>8.6899999991504586</v>
      </c>
      <c r="N289" s="302">
        <f t="shared" si="225"/>
        <v>86.163999992009224</v>
      </c>
    </row>
    <row r="290" spans="1:14" x14ac:dyDescent="0.3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3">
      <c r="A292" s="282" t="s">
        <v>355</v>
      </c>
      <c r="B292" s="302">
        <f>'Ind T6'!V345</f>
        <v>681.11199999702399</v>
      </c>
      <c r="C292" s="299" t="str">
        <f>CONCATENATE("(",ROUND((B292/$H294)*100,1),")")</f>
        <v>(58.6)</v>
      </c>
      <c r="D292" s="302">
        <f>'Ind T6'!W345</f>
        <v>50.44299999976473</v>
      </c>
      <c r="E292" s="299" t="str">
        <f>CONCATENATE("(",ROUND((D292/$H294)*100,1),")")</f>
        <v>(4.3)</v>
      </c>
      <c r="F292" s="302">
        <f>'Ind T6'!X345</f>
        <v>79.61300000181231</v>
      </c>
      <c r="G292" s="299" t="str">
        <f>CONCATENATE("(",ROUND((F292/$H294)*100,1),")")</f>
        <v>(6.9)</v>
      </c>
      <c r="H292" s="302">
        <f>SUM(B292,D292,F292)</f>
        <v>811.16799999860109</v>
      </c>
      <c r="I292" s="299" t="str">
        <f>CONCATENATE("(",ROUND((H292/$H294)*100,1),")")</f>
        <v>(69.8)</v>
      </c>
      <c r="K292" s="302">
        <f>B292-B282</f>
        <v>80.020000000417667</v>
      </c>
      <c r="L292" s="302">
        <f>D292-D282</f>
        <v>7.280999999801999</v>
      </c>
      <c r="M292" s="302">
        <f>F292-F282</f>
        <v>13.384000000701562</v>
      </c>
      <c r="N292" s="302">
        <f>SUM(K292:M292)</f>
        <v>100.68500000092122</v>
      </c>
    </row>
    <row r="293" spans="1:14" x14ac:dyDescent="0.3">
      <c r="A293" s="282" t="s">
        <v>356</v>
      </c>
      <c r="B293" s="302">
        <f>'Ind T6'!V344</f>
        <v>276.65700000019649</v>
      </c>
      <c r="C293" s="299" t="str">
        <f>CONCATENATE("(",ROUND((B293/$H294)*100,1),")")</f>
        <v>(23.8)</v>
      </c>
      <c r="D293" s="302">
        <f>'Ind T6'!W344</f>
        <v>52.581000000184311</v>
      </c>
      <c r="E293" s="299" t="str">
        <f>CONCATENATE("(",ROUND((D293/$H294)*100,1),")")</f>
        <v>(4.5)</v>
      </c>
      <c r="F293" s="302">
        <f>'Ind T6'!X344</f>
        <v>21.507000000014187</v>
      </c>
      <c r="G293" s="299" t="str">
        <f>CONCATENATE("(",ROUND((F293/$H294)*100,1),")")</f>
        <v>(1.9)</v>
      </c>
      <c r="H293" s="302">
        <f t="shared" ref="H293" si="226">SUM(B293,D293,F293)</f>
        <v>350.74500000039495</v>
      </c>
      <c r="I293" s="299" t="str">
        <f>CONCATENATE("(",ROUND((H293/$H294)*100,1),")")</f>
        <v>(30.2)</v>
      </c>
      <c r="K293" s="302">
        <f t="shared" ref="K293:K294" si="227">B293-B283</f>
        <v>52.250000001938645</v>
      </c>
      <c r="L293" s="302">
        <f t="shared" ref="L293:L294" si="228">D293-D283</f>
        <v>4.6330000004526255</v>
      </c>
      <c r="M293" s="302">
        <f t="shared" ref="M293:M294" si="229">F293-F283</f>
        <v>3.2450000003515171</v>
      </c>
      <c r="N293" s="302">
        <f t="shared" ref="N293:N294" si="230">SUM(K293:M293)</f>
        <v>60.128000002742787</v>
      </c>
    </row>
    <row r="294" spans="1:14" x14ac:dyDescent="0.3">
      <c r="A294" s="282" t="s">
        <v>354</v>
      </c>
      <c r="B294" s="302">
        <f>SUM(B292:B293)</f>
        <v>957.76899999722048</v>
      </c>
      <c r="C294" s="299" t="str">
        <f>CONCATENATE("(",ROUND((B294/$H294)*100,1),")")</f>
        <v>(82.4)</v>
      </c>
      <c r="D294" s="302">
        <f>SUM(D292:D293)</f>
        <v>103.02399999994904</v>
      </c>
      <c r="E294" s="299" t="str">
        <f>CONCATENATE("(",ROUND((D294/$H294)*100,1),")")</f>
        <v>(8.9)</v>
      </c>
      <c r="F294" s="302">
        <f>SUM(F292:F293)</f>
        <v>101.1200000018265</v>
      </c>
      <c r="G294" s="299" t="str">
        <f>CONCATENATE("(",ROUND((F294/$H294)*100,1),")")</f>
        <v>(8.7)</v>
      </c>
      <c r="H294" s="302">
        <f>SUM(H292:H293)</f>
        <v>1161.9129999989959</v>
      </c>
      <c r="I294" s="299" t="str">
        <f>CONCATENATE("(",ROUND((H294/$H294)*100,1),")")</f>
        <v>(100)</v>
      </c>
      <c r="K294" s="302">
        <f t="shared" si="227"/>
        <v>132.27000000235637</v>
      </c>
      <c r="L294" s="302">
        <f t="shared" si="228"/>
        <v>11.914000000254617</v>
      </c>
      <c r="M294" s="302">
        <f t="shared" si="229"/>
        <v>16.629000001053072</v>
      </c>
      <c r="N294" s="302">
        <f t="shared" si="230"/>
        <v>160.81300000366406</v>
      </c>
    </row>
    <row r="295" spans="1:14" x14ac:dyDescent="0.3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3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3">
      <c r="N300" s="287" t="s">
        <v>377</v>
      </c>
    </row>
    <row r="301" spans="1:14" x14ac:dyDescent="0.3">
      <c r="A301" s="181" t="s">
        <v>378</v>
      </c>
      <c r="B301" s="370" t="s">
        <v>376</v>
      </c>
      <c r="C301" s="370"/>
      <c r="D301" s="370" t="s">
        <v>375</v>
      </c>
      <c r="E301" s="370"/>
      <c r="F301" s="370" t="s">
        <v>374</v>
      </c>
      <c r="G301" s="370"/>
      <c r="H301" s="370" t="s">
        <v>32</v>
      </c>
      <c r="I301" s="370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3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3">
      <c r="A303" s="282" t="s">
        <v>355</v>
      </c>
      <c r="B303" s="302">
        <f>'Ind T6'!L370</f>
        <v>473.76099999918495</v>
      </c>
      <c r="C303" s="299" t="str">
        <f>CONCATENATE("(",ROUND((B303/$H305)*100,1),")")</f>
        <v>(47.1)</v>
      </c>
      <c r="D303" s="302">
        <f>'Ind T6'!M370</f>
        <v>19.601999999964473</v>
      </c>
      <c r="E303" s="299" t="str">
        <f>CONCATENATE("(",ROUND((D303/$H305)*100,1),")")</f>
        <v>(2)</v>
      </c>
      <c r="F303" s="302">
        <f>'Ind T6'!N370</f>
        <v>45.800000000908547</v>
      </c>
      <c r="G303" s="299" t="str">
        <f>CONCATENATE("(",ROUND((F303/$H305)*100,1),")")</f>
        <v>(4.6)</v>
      </c>
      <c r="H303" s="302">
        <f>SUM(B303,D303,F303)</f>
        <v>539.16300000005799</v>
      </c>
      <c r="I303" s="299" t="str">
        <f>CONCATENATE("(",ROUND((H303/$H305)*100,1),")")</f>
        <v>(53.6)</v>
      </c>
      <c r="K303" s="302">
        <f>B308-B303</f>
        <v>1.2210000030245851</v>
      </c>
      <c r="L303" s="302">
        <f>D308-D303</f>
        <v>0.80899999997246752</v>
      </c>
      <c r="M303" s="302">
        <f>F308-F303</f>
        <v>2.0610000015613608</v>
      </c>
      <c r="N303" s="302">
        <f>SUM(K303:M303)</f>
        <v>4.0910000045584134</v>
      </c>
    </row>
    <row r="304" spans="1:14" x14ac:dyDescent="0.3">
      <c r="A304" s="282" t="s">
        <v>356</v>
      </c>
      <c r="B304" s="302">
        <f>'Ind T6'!L369</f>
        <v>344.69299999686837</v>
      </c>
      <c r="C304" s="299" t="str">
        <f>CONCATENATE("(",ROUND((B304/$H305)*100,1),")")</f>
        <v>(34.3)</v>
      </c>
      <c r="D304" s="302">
        <f>'Ind T6'!M369</f>
        <v>104.17400000041144</v>
      </c>
      <c r="E304" s="299" t="str">
        <f>CONCATENATE("(",ROUND((D304/$H305)*100,1),")")</f>
        <v>(10.4)</v>
      </c>
      <c r="F304" s="302">
        <f>'Ind T6'!N369</f>
        <v>17.135999999754375</v>
      </c>
      <c r="G304" s="299" t="str">
        <f>CONCATENATE("(",ROUND((F304/$H305)*100,1),")")</f>
        <v>(1.7)</v>
      </c>
      <c r="H304" s="302">
        <f t="shared" ref="H304" si="231">SUM(B304,D304,F304)</f>
        <v>466.00299999703418</v>
      </c>
      <c r="I304" s="299" t="str">
        <f>CONCATENATE("(",ROUND((H304/$H305)*100,1),")")</f>
        <v>(46.4)</v>
      </c>
      <c r="K304" s="302">
        <f t="shared" ref="K304:K305" si="232">B309-B304</f>
        <v>-1.3229999881068579</v>
      </c>
      <c r="L304" s="302">
        <f t="shared" ref="L304:L305" si="233">D309-D304</f>
        <v>-1.6149999994138398</v>
      </c>
      <c r="M304" s="302">
        <f t="shared" ref="M304:M305" si="234">F309-F304</f>
        <v>0.51000000019561398</v>
      </c>
      <c r="N304" s="302">
        <f t="shared" ref="N304:N305" si="235">SUM(K304:M304)</f>
        <v>-2.4279999873250837</v>
      </c>
    </row>
    <row r="305" spans="1:14" x14ac:dyDescent="0.3">
      <c r="A305" s="282" t="s">
        <v>354</v>
      </c>
      <c r="B305" s="302">
        <f>SUM(B303:B304)</f>
        <v>818.45399999605331</v>
      </c>
      <c r="C305" s="299" t="str">
        <f>CONCATENATE("(",ROUND((B305/$H305)*100,1),")")</f>
        <v>(81.4)</v>
      </c>
      <c r="D305" s="302">
        <f>SUM(D303:D304)</f>
        <v>123.77600000037592</v>
      </c>
      <c r="E305" s="299" t="str">
        <f>CONCATENATE("(",ROUND((D305/$H305)*100,1),")")</f>
        <v>(12.3)</v>
      </c>
      <c r="F305" s="302">
        <f>SUM(F303:F304)</f>
        <v>62.936000000662922</v>
      </c>
      <c r="G305" s="299" t="str">
        <f>CONCATENATE("(",ROUND((F305/$H305)*100,1),")")</f>
        <v>(6.3)</v>
      </c>
      <c r="H305" s="302">
        <f>SUM(H303:H304)</f>
        <v>1005.1659999970922</v>
      </c>
      <c r="I305" s="299" t="str">
        <f>CONCATENATE("(",ROUND((H305/$H305)*100,1),")")</f>
        <v>(100)</v>
      </c>
      <c r="K305" s="302">
        <f t="shared" si="232"/>
        <v>-0.10199998508221597</v>
      </c>
      <c r="L305" s="302">
        <f t="shared" si="233"/>
        <v>-0.8059999994413829</v>
      </c>
      <c r="M305" s="302">
        <f t="shared" si="234"/>
        <v>2.5710000017569783</v>
      </c>
      <c r="N305" s="302">
        <f t="shared" si="235"/>
        <v>1.6630000172333794</v>
      </c>
    </row>
    <row r="306" spans="1:14" x14ac:dyDescent="0.3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3">
      <c r="A308" s="282" t="s">
        <v>355</v>
      </c>
      <c r="B308" s="302">
        <f>'Ind T6'!Q370</f>
        <v>474.98200000220953</v>
      </c>
      <c r="C308" s="299" t="str">
        <f>CONCATENATE("(",ROUND((B308/$H310)*100,1),")")</f>
        <v>(47.2)</v>
      </c>
      <c r="D308" s="302">
        <f>'Ind T6'!R370</f>
        <v>20.410999999936941</v>
      </c>
      <c r="E308" s="299" t="str">
        <f>CONCATENATE("(",ROUND((D308/$H310)*100,1),")")</f>
        <v>(2)</v>
      </c>
      <c r="F308" s="302">
        <f>'Ind T6'!S370</f>
        <v>47.861000002469908</v>
      </c>
      <c r="G308" s="299" t="str">
        <f>CONCATENATE("(",ROUND((F308/$H310)*100,1),")")</f>
        <v>(4.8)</v>
      </c>
      <c r="H308" s="302">
        <f>SUM(B308,D308,F308)</f>
        <v>543.25400000461639</v>
      </c>
      <c r="I308" s="299" t="str">
        <f>CONCATENATE("(",ROUND((H308/$H310)*100,1),")")</f>
        <v>(54)</v>
      </c>
      <c r="K308" s="302">
        <f>B313-B308</f>
        <v>-10.44200000052939</v>
      </c>
      <c r="L308" s="302">
        <f>D313-D308</f>
        <v>0.78099999995668767</v>
      </c>
      <c r="M308" s="302">
        <f>F313-F308</f>
        <v>0.14799999935338093</v>
      </c>
      <c r="N308" s="302">
        <f>SUM(K308:M308)</f>
        <v>-9.5130000012193214</v>
      </c>
    </row>
    <row r="309" spans="1:14" x14ac:dyDescent="0.3">
      <c r="A309" s="282" t="s">
        <v>356</v>
      </c>
      <c r="B309" s="302">
        <f>'Ind T6'!Q369</f>
        <v>343.37000000876151</v>
      </c>
      <c r="C309" s="299" t="str">
        <f>CONCATENATE("(",ROUND((B309/$H310)*100,1),")")</f>
        <v>(34.1)</v>
      </c>
      <c r="D309" s="302">
        <f>'Ind T6'!R369</f>
        <v>102.5590000009976</v>
      </c>
      <c r="E309" s="299" t="str">
        <f>CONCATENATE("(",ROUND((D309/$H310)*100,1),")")</f>
        <v>(10.2)</v>
      </c>
      <c r="F309" s="302">
        <f>'Ind T6'!S369</f>
        <v>17.645999999949989</v>
      </c>
      <c r="G309" s="299" t="str">
        <f>CONCATENATE("(",ROUND((F309/$H310)*100,1),")")</f>
        <v>(1.8)</v>
      </c>
      <c r="H309" s="302">
        <f t="shared" ref="H309" si="236">SUM(B309,D309,F309)</f>
        <v>463.57500000970907</v>
      </c>
      <c r="I309" s="299" t="str">
        <f>CONCATENATE("(",ROUND((H309/$H310)*100,1),")")</f>
        <v>(46)</v>
      </c>
      <c r="K309" s="302">
        <f t="shared" ref="K309:K310" si="237">B314-B309</f>
        <v>-10.460000007073745</v>
      </c>
      <c r="L309" s="302">
        <f t="shared" ref="L309:L310" si="238">D314-D309</f>
        <v>-4.4660000011012642</v>
      </c>
      <c r="M309" s="302">
        <f t="shared" ref="M309:M310" si="239">F314-F309</f>
        <v>-0.60899999994404297</v>
      </c>
      <c r="N309" s="302">
        <f t="shared" ref="N309:N310" si="240">SUM(K309:M309)</f>
        <v>-15.535000008119052</v>
      </c>
    </row>
    <row r="310" spans="1:14" x14ac:dyDescent="0.3">
      <c r="A310" s="282" t="s">
        <v>354</v>
      </c>
      <c r="B310" s="302">
        <f>SUM(B308:B309)</f>
        <v>818.3520000109711</v>
      </c>
      <c r="C310" s="299" t="str">
        <f>CONCATENATE("(",ROUND((B310/$H310)*100,1),")")</f>
        <v>(81.3)</v>
      </c>
      <c r="D310" s="302">
        <f>SUM(D308:D309)</f>
        <v>122.97000000093453</v>
      </c>
      <c r="E310" s="299" t="str">
        <f>CONCATENATE("(",ROUND((D310/$H310)*100,1),")")</f>
        <v>(12.2)</v>
      </c>
      <c r="F310" s="302">
        <f>SUM(F308:F309)</f>
        <v>65.5070000024199</v>
      </c>
      <c r="G310" s="299" t="str">
        <f>CONCATENATE("(",ROUND((F310/$H310)*100,1),")")</f>
        <v>(6.5)</v>
      </c>
      <c r="H310" s="302">
        <f>SUM(H308:H309)</f>
        <v>1006.8290000143254</v>
      </c>
      <c r="I310" s="299" t="str">
        <f>CONCATENATE("(",ROUND((H310/$H310)*100,1),")")</f>
        <v>(100)</v>
      </c>
      <c r="K310" s="302">
        <f t="shared" si="237"/>
        <v>-20.902000007603192</v>
      </c>
      <c r="L310" s="302">
        <f t="shared" si="238"/>
        <v>-3.6850000011445729</v>
      </c>
      <c r="M310" s="302">
        <f t="shared" si="239"/>
        <v>-0.46100000059065849</v>
      </c>
      <c r="N310" s="302">
        <f t="shared" si="240"/>
        <v>-25.048000009338423</v>
      </c>
    </row>
    <row r="311" spans="1:14" x14ac:dyDescent="0.3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3">
      <c r="A313" s="282" t="s">
        <v>355</v>
      </c>
      <c r="B313" s="302">
        <f>'Ind T6'!V370</f>
        <v>464.54000000168014</v>
      </c>
      <c r="C313" s="299" t="str">
        <f>CONCATENATE("(",ROUND((B313/$H315)*100,1),")")</f>
        <v>(47.3)</v>
      </c>
      <c r="D313" s="302">
        <f>'Ind T6'!W370</f>
        <v>21.191999999893628</v>
      </c>
      <c r="E313" s="299" t="str">
        <f>CONCATENATE("(",ROUND((D313/$H315)*100,1),")")</f>
        <v>(2.2)</v>
      </c>
      <c r="F313" s="302">
        <f>'Ind T6'!X370</f>
        <v>48.009000001823289</v>
      </c>
      <c r="G313" s="299" t="str">
        <f>CONCATENATE("(",ROUND((F313/$H315)*100,1),")")</f>
        <v>(4.9)</v>
      </c>
      <c r="H313" s="302">
        <f>SUM(B313,D313,F313)</f>
        <v>533.74100000339706</v>
      </c>
      <c r="I313" s="299" t="str">
        <f>CONCATENATE("(",ROUND((H313/$H315)*100,1),")")</f>
        <v>(54.4)</v>
      </c>
      <c r="K313" s="302">
        <f>B313-B303</f>
        <v>-9.2209999975048049</v>
      </c>
      <c r="L313" s="302">
        <f>D313-D303</f>
        <v>1.5899999999291552</v>
      </c>
      <c r="M313" s="302">
        <f>F313-F303</f>
        <v>2.2090000009147417</v>
      </c>
      <c r="N313" s="302">
        <f>SUM(K313:M313)</f>
        <v>-5.421999996660908</v>
      </c>
    </row>
    <row r="314" spans="1:14" x14ac:dyDescent="0.3">
      <c r="A314" s="282" t="s">
        <v>356</v>
      </c>
      <c r="B314" s="302">
        <f>'Ind T6'!V369</f>
        <v>332.91000000168776</v>
      </c>
      <c r="C314" s="299" t="str">
        <f>CONCATENATE("(",ROUND((B314/$H315)*100,1),")")</f>
        <v>(33.9)</v>
      </c>
      <c r="D314" s="302">
        <f>'Ind T6'!W369</f>
        <v>98.092999999896335</v>
      </c>
      <c r="E314" s="299" t="str">
        <f>CONCATENATE("(",ROUND((D314/$H315)*100,1),")")</f>
        <v>(10)</v>
      </c>
      <c r="F314" s="302">
        <f>'Ind T6'!X369</f>
        <v>17.037000000005946</v>
      </c>
      <c r="G314" s="299" t="str">
        <f>CONCATENATE("(",ROUND((F314/$H315)*100,1),")")</f>
        <v>(1.7)</v>
      </c>
      <c r="H314" s="302">
        <f t="shared" ref="H314" si="241">SUM(B314,D314,F314)</f>
        <v>448.04000000159004</v>
      </c>
      <c r="I314" s="299" t="str">
        <f>CONCATENATE("(",ROUND((H314/$H315)*100,1),")")</f>
        <v>(45.6)</v>
      </c>
      <c r="K314" s="302">
        <f t="shared" ref="K314:K315" si="242">B314-B304</f>
        <v>-11.782999995180603</v>
      </c>
      <c r="L314" s="302">
        <f t="shared" ref="L314:L315" si="243">D314-D304</f>
        <v>-6.0810000005151039</v>
      </c>
      <c r="M314" s="302">
        <f t="shared" ref="M314:M315" si="244">F314-F304</f>
        <v>-9.8999999748428991E-2</v>
      </c>
      <c r="N314" s="302">
        <f t="shared" ref="N314:N315" si="245">SUM(K314:M314)</f>
        <v>-17.962999995444136</v>
      </c>
    </row>
    <row r="315" spans="1:14" x14ac:dyDescent="0.3">
      <c r="A315" s="282" t="s">
        <v>354</v>
      </c>
      <c r="B315" s="302">
        <f>SUM(B313:B314)</f>
        <v>797.4500000033679</v>
      </c>
      <c r="C315" s="299" t="str">
        <f>CONCATENATE("(",ROUND((B315/$H315)*100,1),")")</f>
        <v>(81.2)</v>
      </c>
      <c r="D315" s="302">
        <f>SUM(D313:D314)</f>
        <v>119.28499999978996</v>
      </c>
      <c r="E315" s="299" t="str">
        <f>CONCATENATE("(",ROUND((D315/$H315)*100,1),")")</f>
        <v>(12.1)</v>
      </c>
      <c r="F315" s="302">
        <f>SUM(F313:F314)</f>
        <v>65.046000001829242</v>
      </c>
      <c r="G315" s="299" t="str">
        <f>CONCATENATE("(",ROUND((F315/$H315)*100,1),")")</f>
        <v>(6.6)</v>
      </c>
      <c r="H315" s="302">
        <f>SUM(H313:H314)</f>
        <v>981.78100000498716</v>
      </c>
      <c r="I315" s="299" t="str">
        <f>CONCATENATE("(",ROUND((H315/$H315)*100,1),")")</f>
        <v>(100)</v>
      </c>
      <c r="K315" s="302">
        <f t="shared" si="242"/>
        <v>-21.003999992685408</v>
      </c>
      <c r="L315" s="302">
        <f t="shared" si="243"/>
        <v>-4.4910000005859558</v>
      </c>
      <c r="M315" s="302">
        <f t="shared" si="244"/>
        <v>2.1100000011663198</v>
      </c>
      <c r="N315" s="302">
        <f t="shared" si="245"/>
        <v>-23.384999992105044</v>
      </c>
    </row>
    <row r="316" spans="1:14" x14ac:dyDescent="0.3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3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3">
      <c r="N321" s="287" t="s">
        <v>377</v>
      </c>
    </row>
    <row r="322" spans="1:14" x14ac:dyDescent="0.3">
      <c r="A322" s="181" t="s">
        <v>378</v>
      </c>
      <c r="B322" s="370" t="s">
        <v>376</v>
      </c>
      <c r="C322" s="370"/>
      <c r="D322" s="370" t="s">
        <v>375</v>
      </c>
      <c r="E322" s="370"/>
      <c r="F322" s="370" t="s">
        <v>374</v>
      </c>
      <c r="G322" s="370"/>
      <c r="H322" s="370" t="s">
        <v>32</v>
      </c>
      <c r="I322" s="370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3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3">
      <c r="A324" s="282" t="s">
        <v>355</v>
      </c>
      <c r="B324" s="302">
        <f>'Ind T6'!L380</f>
        <v>202.93399999950125</v>
      </c>
      <c r="C324" s="299" t="str">
        <f>CONCATENATE("(",ROUND((B324/$H326)*100,1),")")</f>
        <v>(35.8)</v>
      </c>
      <c r="D324" s="302">
        <f>'Ind T6'!M380</f>
        <v>34.660999999962776</v>
      </c>
      <c r="E324" s="299" t="str">
        <f>CONCATENATE("(",ROUND((D324/$H326)*100,1),")")</f>
        <v>(6.1)</v>
      </c>
      <c r="F324" s="302">
        <f>'Ind T6'!N380</f>
        <v>35.50000000007828</v>
      </c>
      <c r="G324" s="299" t="str">
        <f>CONCATENATE("(",ROUND((F324/$H326)*100,1),")")</f>
        <v>(6.3)</v>
      </c>
      <c r="H324" s="302">
        <f>SUM(B324,D324,F324)</f>
        <v>273.09499999954232</v>
      </c>
      <c r="I324" s="299" t="str">
        <f>CONCATENATE("(",ROUND((H324/$H326)*100,1),")")</f>
        <v>(48.2)</v>
      </c>
      <c r="K324" s="302">
        <f>B329-B324</f>
        <v>-8.3419999990454698</v>
      </c>
      <c r="L324" s="302">
        <f>D329-D324</f>
        <v>-1.0019999999190077</v>
      </c>
      <c r="M324" s="302">
        <f>F329-F324</f>
        <v>0.13200000004942325</v>
      </c>
      <c r="N324" s="302">
        <f>SUM(K324:M324)</f>
        <v>-9.2119999989150543</v>
      </c>
    </row>
    <row r="325" spans="1:14" x14ac:dyDescent="0.3">
      <c r="A325" s="282" t="s">
        <v>356</v>
      </c>
      <c r="B325" s="302">
        <f>'Ind T6'!L379</f>
        <v>176.03199999879192</v>
      </c>
      <c r="C325" s="299" t="str">
        <f>CONCATENATE("(",ROUND((B325/$H326)*100,1),")")</f>
        <v>(31.1)</v>
      </c>
      <c r="D325" s="302">
        <f>'Ind T6'!M379</f>
        <v>88.702000000484489</v>
      </c>
      <c r="E325" s="299" t="str">
        <f>CONCATENATE("(",ROUND((D325/$H326)*100,1),")")</f>
        <v>(15.7)</v>
      </c>
      <c r="F325" s="302">
        <f>'Ind T6'!N379</f>
        <v>28.255999999421611</v>
      </c>
      <c r="G325" s="299" t="str">
        <f>CONCATENATE("(",ROUND((F325/$H326)*100,1),")")</f>
        <v>(5)</v>
      </c>
      <c r="H325" s="302">
        <f t="shared" ref="H325" si="246">SUM(B325,D325,F325)</f>
        <v>292.98999999869801</v>
      </c>
      <c r="I325" s="299" t="str">
        <f>CONCATENATE("(",ROUND((H325/$H326)*100,1),")")</f>
        <v>(51.8)</v>
      </c>
      <c r="K325" s="302">
        <f t="shared" ref="K325:K326" si="247">B330-B325</f>
        <v>-1.1819999955291678</v>
      </c>
      <c r="L325" s="302">
        <f t="shared" ref="L325:L326" si="248">D330-D325</f>
        <v>-6.6169999994611715</v>
      </c>
      <c r="M325" s="302">
        <f t="shared" ref="M325:M326" si="249">F330-F325</f>
        <v>-1.0249999995620875</v>
      </c>
      <c r="N325" s="302">
        <f t="shared" ref="N325:N326" si="250">SUM(K325:M325)</f>
        <v>-8.8239999945524268</v>
      </c>
    </row>
    <row r="326" spans="1:14" x14ac:dyDescent="0.3">
      <c r="A326" s="282" t="s">
        <v>354</v>
      </c>
      <c r="B326" s="302">
        <f>SUM(B324:B325)</f>
        <v>378.96599999829317</v>
      </c>
      <c r="C326" s="299" t="str">
        <f>CONCATENATE("(",ROUND((B326/$H326)*100,1),")")</f>
        <v>(66.9)</v>
      </c>
      <c r="D326" s="302">
        <f>SUM(D324:D325)</f>
        <v>123.36300000044727</v>
      </c>
      <c r="E326" s="299" t="str">
        <f>CONCATENATE("(",ROUND((D326/$H326)*100,1),")")</f>
        <v>(21.8)</v>
      </c>
      <c r="F326" s="302">
        <f>SUM(F324:F325)</f>
        <v>63.755999999499892</v>
      </c>
      <c r="G326" s="299" t="str">
        <f>CONCATENATE("(",ROUND((F326/$H326)*100,1),")")</f>
        <v>(11.3)</v>
      </c>
      <c r="H326" s="302">
        <f>SUM(H324:H325)</f>
        <v>566.08499999824039</v>
      </c>
      <c r="I326" s="299" t="str">
        <f>CONCATENATE("(",ROUND((H326/$H326)*100,1),")")</f>
        <v>(100)</v>
      </c>
      <c r="K326" s="302">
        <f t="shared" si="247"/>
        <v>-9.5239999945746376</v>
      </c>
      <c r="L326" s="302">
        <f t="shared" si="248"/>
        <v>-7.6189999993801791</v>
      </c>
      <c r="M326" s="302">
        <f t="shared" si="249"/>
        <v>-0.89299999951266784</v>
      </c>
      <c r="N326" s="302">
        <f t="shared" si="250"/>
        <v>-18.035999993467485</v>
      </c>
    </row>
    <row r="327" spans="1:14" x14ac:dyDescent="0.3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3">
      <c r="A329" s="282" t="s">
        <v>355</v>
      </c>
      <c r="B329" s="302">
        <f>'Ind T6'!Q380</f>
        <v>194.59200000045578</v>
      </c>
      <c r="C329" s="299" t="str">
        <f>CONCATENATE("(",ROUND((B329/$H331)*100,1),")")</f>
        <v>(35.5)</v>
      </c>
      <c r="D329" s="302">
        <f>'Ind T6'!R380</f>
        <v>33.659000000043768</v>
      </c>
      <c r="E329" s="299" t="str">
        <f>CONCATENATE("(",ROUND((D329/$H331)*100,1),")")</f>
        <v>(6.1)</v>
      </c>
      <c r="F329" s="302">
        <f>'Ind T6'!S380</f>
        <v>35.632000000127704</v>
      </c>
      <c r="G329" s="299" t="str">
        <f>CONCATENATE("(",ROUND((F329/$H331)*100,1),")")</f>
        <v>(6.5)</v>
      </c>
      <c r="H329" s="302">
        <f>SUM(B329,D329,F329)</f>
        <v>263.88300000062725</v>
      </c>
      <c r="I329" s="299" t="str">
        <f>CONCATENATE("(",ROUND((H329/$H331)*100,1),")")</f>
        <v>(48.1)</v>
      </c>
      <c r="K329" s="302">
        <f>B334-B329</f>
        <v>13.694999999859533</v>
      </c>
      <c r="L329" s="302">
        <f>D334-D329</f>
        <v>3.3799999999356132</v>
      </c>
      <c r="M329" s="302">
        <f>F334-F329</f>
        <v>5.8240000000064143</v>
      </c>
      <c r="N329" s="302">
        <f>SUM(K329:M329)</f>
        <v>22.898999999801561</v>
      </c>
    </row>
    <row r="330" spans="1:14" x14ac:dyDescent="0.3">
      <c r="A330" s="282" t="s">
        <v>356</v>
      </c>
      <c r="B330" s="302">
        <f>'Ind T6'!Q379</f>
        <v>174.85000000326275</v>
      </c>
      <c r="C330" s="299" t="str">
        <f>CONCATENATE("(",ROUND((B330/$H331)*100,1),")")</f>
        <v>(31.9)</v>
      </c>
      <c r="D330" s="302">
        <f>'Ind T6'!R379</f>
        <v>82.085000001023317</v>
      </c>
      <c r="E330" s="299" t="str">
        <f>CONCATENATE("(",ROUND((D330/$H331)*100,1),")")</f>
        <v>(15)</v>
      </c>
      <c r="F330" s="302">
        <f>'Ind T6'!S379</f>
        <v>27.230999999859524</v>
      </c>
      <c r="G330" s="299" t="str">
        <f>CONCATENATE("(",ROUND((F330/$H331)*100,1),")")</f>
        <v>(5)</v>
      </c>
      <c r="H330" s="302">
        <f t="shared" ref="H330" si="251">SUM(B330,D330,F330)</f>
        <v>284.16600000414559</v>
      </c>
      <c r="I330" s="299" t="str">
        <f>CONCATENATE("(",ROUND((H330/$H331)*100,1),")")</f>
        <v>(51.9)</v>
      </c>
      <c r="K330" s="302">
        <f t="shared" ref="K330:K331" si="252">B335-B330</f>
        <v>25.563999996480561</v>
      </c>
      <c r="L330" s="302">
        <f t="shared" ref="L330:L331" si="253">D335-D330</f>
        <v>-0.98200000128746012</v>
      </c>
      <c r="M330" s="302">
        <f t="shared" ref="M330:M331" si="254">F335-F330</f>
        <v>2.3340000001502546</v>
      </c>
      <c r="N330" s="302">
        <f t="shared" ref="N330:N331" si="255">SUM(K330:M330)</f>
        <v>26.915999995343356</v>
      </c>
    </row>
    <row r="331" spans="1:14" x14ac:dyDescent="0.3">
      <c r="A331" s="282" t="s">
        <v>354</v>
      </c>
      <c r="B331" s="302">
        <f>SUM(B329:B330)</f>
        <v>369.44200000371853</v>
      </c>
      <c r="C331" s="299" t="str">
        <f>CONCATENATE("(",ROUND((B331/$H331)*100,1),")")</f>
        <v>(67.4)</v>
      </c>
      <c r="D331" s="302">
        <f>SUM(D329:D330)</f>
        <v>115.74400000106709</v>
      </c>
      <c r="E331" s="299" t="str">
        <f>CONCATENATE("(",ROUND((D331/$H331)*100,1),")")</f>
        <v>(21.1)</v>
      </c>
      <c r="F331" s="302">
        <f>SUM(F329:F330)</f>
        <v>62.862999999987224</v>
      </c>
      <c r="G331" s="299" t="str">
        <f>CONCATENATE("(",ROUND((F331/$H331)*100,1),")")</f>
        <v>(11.5)</v>
      </c>
      <c r="H331" s="302">
        <f>SUM(H329:H330)</f>
        <v>548.04900000477278</v>
      </c>
      <c r="I331" s="299" t="str">
        <f>CONCATENATE("(",ROUND((H331/$H331)*100,1),")")</f>
        <v>(100)</v>
      </c>
      <c r="K331" s="302">
        <f t="shared" si="252"/>
        <v>39.258999996340094</v>
      </c>
      <c r="L331" s="302">
        <f t="shared" si="253"/>
        <v>2.3979999986481459</v>
      </c>
      <c r="M331" s="302">
        <f t="shared" si="254"/>
        <v>8.1580000001566759</v>
      </c>
      <c r="N331" s="302">
        <f t="shared" si="255"/>
        <v>49.814999995144916</v>
      </c>
    </row>
    <row r="332" spans="1:14" x14ac:dyDescent="0.3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3">
      <c r="A334" s="282" t="s">
        <v>355</v>
      </c>
      <c r="B334" s="302">
        <f>'Ind T6'!V380</f>
        <v>208.28700000031532</v>
      </c>
      <c r="C334" s="299" t="str">
        <f>CONCATENATE("(",ROUND((B334/$H336)*100,1),")")</f>
        <v>(34.8)</v>
      </c>
      <c r="D334" s="302">
        <f>'Ind T6'!W380</f>
        <v>37.038999999979382</v>
      </c>
      <c r="E334" s="299" t="str">
        <f>CONCATENATE("(",ROUND((D334/$H336)*100,1),")")</f>
        <v>(6.2)</v>
      </c>
      <c r="F334" s="302">
        <f>'Ind T6'!X380</f>
        <v>41.456000000134118</v>
      </c>
      <c r="G334" s="299" t="str">
        <f>CONCATENATE("(",ROUND((F334/$H336)*100,1),")")</f>
        <v>(6.9)</v>
      </c>
      <c r="H334" s="302">
        <f>SUM(B334,D334,F334)</f>
        <v>286.78200000042881</v>
      </c>
      <c r="I334" s="299" t="str">
        <f>CONCATENATE("(",ROUND((H334/$H336)*100,1),")")</f>
        <v>(48)</v>
      </c>
      <c r="K334" s="302">
        <f>B334-B324</f>
        <v>5.3530000008140632</v>
      </c>
      <c r="L334" s="302">
        <f>D334-D324</f>
        <v>2.3780000000166055</v>
      </c>
      <c r="M334" s="302">
        <f>F334-F324</f>
        <v>5.9560000000558375</v>
      </c>
      <c r="N334" s="302">
        <f>SUM(K334:M334)</f>
        <v>13.687000000886506</v>
      </c>
    </row>
    <row r="335" spans="1:14" x14ac:dyDescent="0.3">
      <c r="A335" s="282" t="s">
        <v>356</v>
      </c>
      <c r="B335" s="302">
        <f>'Ind T6'!V379</f>
        <v>200.41399999974331</v>
      </c>
      <c r="C335" s="299" t="str">
        <f>CONCATENATE("(",ROUND((B335/$H336)*100,1),")")</f>
        <v>(33.5)</v>
      </c>
      <c r="D335" s="302">
        <f>'Ind T6'!W379</f>
        <v>81.102999999735857</v>
      </c>
      <c r="E335" s="299" t="str">
        <f>CONCATENATE("(",ROUND((D335/$H336)*100,1),")")</f>
        <v>(13.6)</v>
      </c>
      <c r="F335" s="302">
        <f>'Ind T6'!X379</f>
        <v>29.565000000009778</v>
      </c>
      <c r="G335" s="299" t="str">
        <f>CONCATENATE("(",ROUND((F335/$H336)*100,1),")")</f>
        <v>(4.9)</v>
      </c>
      <c r="H335" s="302">
        <f>SUM(B335,D335,F335)</f>
        <v>311.08199999948891</v>
      </c>
      <c r="I335" s="299" t="str">
        <f>CONCATENATE("(",ROUND((H335/$H336)*100,1),")")</f>
        <v>(52)</v>
      </c>
      <c r="K335" s="302">
        <f t="shared" ref="K335:K336" si="256">B335-B325</f>
        <v>24.382000000951393</v>
      </c>
      <c r="L335" s="302">
        <f t="shared" ref="L335:L336" si="257">D335-D325</f>
        <v>-7.5990000007486316</v>
      </c>
      <c r="M335" s="302">
        <f t="shared" ref="M335:M336" si="258">F335-F325</f>
        <v>1.309000000588167</v>
      </c>
      <c r="N335" s="302">
        <f t="shared" ref="N335:N336" si="259">SUM(K335:M335)</f>
        <v>18.092000000790929</v>
      </c>
    </row>
    <row r="336" spans="1:14" x14ac:dyDescent="0.3">
      <c r="A336" s="282" t="s">
        <v>354</v>
      </c>
      <c r="B336" s="302">
        <f>SUM(B334:B335)</f>
        <v>408.70100000005863</v>
      </c>
      <c r="C336" s="299" t="str">
        <f>CONCATENATE("(",ROUND((B336/$H336)*100,1),")")</f>
        <v>(68.4)</v>
      </c>
      <c r="D336" s="302">
        <f>SUM(D334:D335)</f>
        <v>118.14199999971524</v>
      </c>
      <c r="E336" s="299" t="str">
        <f>CONCATENATE("(",ROUND((D336/$H336)*100,1),")")</f>
        <v>(19.8)</v>
      </c>
      <c r="F336" s="302">
        <f>SUM(F334:F335)</f>
        <v>71.0210000001439</v>
      </c>
      <c r="G336" s="299" t="str">
        <f>CONCATENATE("(",ROUND((F336/$H336)*100,1),")")</f>
        <v>(11.9)</v>
      </c>
      <c r="H336" s="302">
        <f>SUM(H334:H335)</f>
        <v>597.86399999991772</v>
      </c>
      <c r="I336" s="299" t="str">
        <f>CONCATENATE("(",ROUND((H336/$H336)*100,1),")")</f>
        <v>(100)</v>
      </c>
      <c r="K336" s="302">
        <f t="shared" si="256"/>
        <v>29.735000001765457</v>
      </c>
      <c r="L336" s="302">
        <f t="shared" si="257"/>
        <v>-5.2210000007320332</v>
      </c>
      <c r="M336" s="302">
        <f t="shared" si="258"/>
        <v>7.2650000006440081</v>
      </c>
      <c r="N336" s="302">
        <f t="shared" si="259"/>
        <v>31.779000001677431</v>
      </c>
    </row>
    <row r="337" spans="1:14" x14ac:dyDescent="0.3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3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3">
      <c r="N342" s="287" t="s">
        <v>377</v>
      </c>
    </row>
    <row r="343" spans="1:14" x14ac:dyDescent="0.3">
      <c r="A343" s="181" t="s">
        <v>378</v>
      </c>
      <c r="B343" s="370" t="s">
        <v>376</v>
      </c>
      <c r="C343" s="370"/>
      <c r="D343" s="370" t="s">
        <v>375</v>
      </c>
      <c r="E343" s="370"/>
      <c r="F343" s="370" t="s">
        <v>374</v>
      </c>
      <c r="G343" s="370"/>
      <c r="H343" s="370" t="s">
        <v>32</v>
      </c>
      <c r="I343" s="370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3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3">
      <c r="A345" s="282" t="s">
        <v>355</v>
      </c>
      <c r="B345" s="302">
        <f>'Ind T6'!L425</f>
        <v>1083.3639999919828</v>
      </c>
      <c r="C345" s="299" t="str">
        <f>CONCATENATE("(",ROUND((B345/$H347)*100,1),")")</f>
        <v>(38.6)</v>
      </c>
      <c r="D345" s="302">
        <f>'Ind T6'!M425</f>
        <v>164.04800000017178</v>
      </c>
      <c r="E345" s="299" t="str">
        <f>CONCATENATE("(",ROUND((D345/$H347)*100,1),")")</f>
        <v>(5.8)</v>
      </c>
      <c r="F345" s="302">
        <f>'Ind T6'!N425</f>
        <v>265.12300000594848</v>
      </c>
      <c r="G345" s="299" t="str">
        <f>CONCATENATE("(",ROUND((F345/$H347)*100,1),")")</f>
        <v>(9.4)</v>
      </c>
      <c r="H345" s="302">
        <f>SUM(B345,D345,F345)</f>
        <v>1512.5349999981031</v>
      </c>
      <c r="I345" s="299" t="str">
        <f>CONCATENATE("(",ROUND((H345/$H347)*100,1),")")</f>
        <v>(53.9)</v>
      </c>
      <c r="K345" s="302">
        <f>B350-B345</f>
        <v>33.829000006181786</v>
      </c>
      <c r="L345" s="302">
        <f>D350-D345</f>
        <v>11.206999999847341</v>
      </c>
      <c r="M345" s="302">
        <f>F350-F345</f>
        <v>14.385000011597413</v>
      </c>
      <c r="N345" s="302">
        <f>SUM(K345:M345)</f>
        <v>59.42100001762654</v>
      </c>
    </row>
    <row r="346" spans="1:14" x14ac:dyDescent="0.3">
      <c r="A346" s="282" t="s">
        <v>356</v>
      </c>
      <c r="B346" s="302">
        <f>'Ind T6'!L424</f>
        <v>757.22799999252709</v>
      </c>
      <c r="C346" s="299" t="str">
        <f>CONCATENATE("(",ROUND((B346/$H347)*100,1),")")</f>
        <v>(27)</v>
      </c>
      <c r="D346" s="302">
        <f>'Ind T6'!M424</f>
        <v>362.68599999922498</v>
      </c>
      <c r="E346" s="299" t="str">
        <f>CONCATENATE("(",ROUND((D346/$H347)*100,1),")")</f>
        <v>(12.9)</v>
      </c>
      <c r="F346" s="302">
        <f>'Ind T6'!N424</f>
        <v>174.71599999837179</v>
      </c>
      <c r="G346" s="299" t="str">
        <f>CONCATENATE("(",ROUND((F346/$H347)*100,1),")")</f>
        <v>(6.2)</v>
      </c>
      <c r="H346" s="302">
        <f t="shared" ref="H346" si="260">SUM(B346,D346,F346)</f>
        <v>1294.6299999901239</v>
      </c>
      <c r="I346" s="299" t="str">
        <f>CONCATENATE("(",ROUND((H346/$H347)*100,1),")")</f>
        <v>(46.1)</v>
      </c>
      <c r="K346" s="302">
        <f t="shared" ref="K346:K347" si="261">B351-B346</f>
        <v>44.580000024453739</v>
      </c>
      <c r="L346" s="302">
        <f t="shared" ref="L346:L347" si="262">D351-D346</f>
        <v>22.439000001222837</v>
      </c>
      <c r="M346" s="302">
        <f t="shared" ref="M346:M347" si="263">F351-F346</f>
        <v>15.15100000082532</v>
      </c>
      <c r="N346" s="302">
        <f t="shared" ref="N346:N347" si="264">SUM(K346:M346)</f>
        <v>82.170000026501896</v>
      </c>
    </row>
    <row r="347" spans="1:14" x14ac:dyDescent="0.3">
      <c r="A347" s="282" t="s">
        <v>354</v>
      </c>
      <c r="B347" s="302">
        <f>SUM(B345:B346)</f>
        <v>1840.59199998451</v>
      </c>
      <c r="C347" s="299" t="str">
        <f>CONCATENATE("(",ROUND((B347/$H347)*100,1),")")</f>
        <v>(65.6)</v>
      </c>
      <c r="D347" s="302">
        <f>SUM(D345:D346)</f>
        <v>526.7339999993967</v>
      </c>
      <c r="E347" s="299" t="str">
        <f>CONCATENATE("(",ROUND((D347/$H347)*100,1),")")</f>
        <v>(18.8)</v>
      </c>
      <c r="F347" s="302">
        <f>SUM(F345:F346)</f>
        <v>439.83900000432027</v>
      </c>
      <c r="G347" s="299" t="str">
        <f>CONCATENATE("(",ROUND((F347/$H347)*100,1),")")</f>
        <v>(15.7)</v>
      </c>
      <c r="H347" s="302">
        <f>SUM(H345:H346)</f>
        <v>2807.164999988227</v>
      </c>
      <c r="I347" s="299" t="str">
        <f>CONCATENATE("(",ROUND((H347/$H347)*100,1),")")</f>
        <v>(100)</v>
      </c>
      <c r="K347" s="302">
        <f t="shared" si="261"/>
        <v>78.409000030635525</v>
      </c>
      <c r="L347" s="302">
        <f t="shared" si="262"/>
        <v>33.646000001070206</v>
      </c>
      <c r="M347" s="302">
        <f t="shared" si="263"/>
        <v>29.536000012422733</v>
      </c>
      <c r="N347" s="302">
        <f t="shared" si="264"/>
        <v>141.59100004412846</v>
      </c>
    </row>
    <row r="348" spans="1:14" x14ac:dyDescent="0.3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3">
      <c r="A350" s="282" t="s">
        <v>355</v>
      </c>
      <c r="B350" s="302">
        <f>'Ind T6'!Q425</f>
        <v>1117.1929999981646</v>
      </c>
      <c r="C350" s="299" t="str">
        <f>CONCATENATE("(",ROUND((B350/$H352)*100,1),")")</f>
        <v>(37.9)</v>
      </c>
      <c r="D350" s="302">
        <f>'Ind T6'!R425</f>
        <v>175.25500000001912</v>
      </c>
      <c r="E350" s="299" t="str">
        <f>CONCATENATE("(",ROUND((D350/$H352)*100,1),")")</f>
        <v>(5.9)</v>
      </c>
      <c r="F350" s="302">
        <f>'Ind T6'!S425</f>
        <v>279.5080000175459</v>
      </c>
      <c r="G350" s="299" t="str">
        <f>CONCATENATE("(",ROUND((F350/$H352)*100,1),")")</f>
        <v>(9.5)</v>
      </c>
      <c r="H350" s="302">
        <f>SUM(B350,D350,F350)</f>
        <v>1571.9560000157298</v>
      </c>
      <c r="I350" s="299" t="str">
        <f>CONCATENATE("(",ROUND((H350/$H352)*100,1),")")</f>
        <v>(53.3)</v>
      </c>
      <c r="K350" s="302">
        <f>B355-B350</f>
        <v>42.544999995916214</v>
      </c>
      <c r="L350" s="302">
        <f>D355-D350</f>
        <v>19.018999999960187</v>
      </c>
      <c r="M350" s="302">
        <f>F355-F350</f>
        <v>20.297999994699353</v>
      </c>
      <c r="N350" s="302">
        <f>SUM(K350:M350)</f>
        <v>81.861999990575754</v>
      </c>
    </row>
    <row r="351" spans="1:14" x14ac:dyDescent="0.3">
      <c r="A351" s="282" t="s">
        <v>356</v>
      </c>
      <c r="B351" s="302">
        <f>'Ind T6'!Q424</f>
        <v>801.80800001698083</v>
      </c>
      <c r="C351" s="299" t="str">
        <f>CONCATENATE("(",ROUND((B351/$H352)*100,1),")")</f>
        <v>(27.2)</v>
      </c>
      <c r="D351" s="302">
        <f>'Ind T6'!R424</f>
        <v>385.12500000044781</v>
      </c>
      <c r="E351" s="299" t="str">
        <f>CONCATENATE("(",ROUND((D351/$H352)*100,1),")")</f>
        <v>(13.1)</v>
      </c>
      <c r="F351" s="302">
        <f>'Ind T6'!S424</f>
        <v>189.86699999919711</v>
      </c>
      <c r="G351" s="299" t="str">
        <f>CONCATENATE("(",ROUND((F351/$H352)*100,1),")")</f>
        <v>(6.4)</v>
      </c>
      <c r="H351" s="302">
        <f t="shared" ref="H351" si="265">SUM(B351,D351,F351)</f>
        <v>1376.8000000166257</v>
      </c>
      <c r="I351" s="299" t="str">
        <f>CONCATENATE("(",ROUND((H351/$H352)*100,1),")")</f>
        <v>(46.7)</v>
      </c>
      <c r="K351" s="302">
        <f t="shared" ref="K351:K352" si="266">B356-B351</f>
        <v>56.478999989340082</v>
      </c>
      <c r="L351" s="302">
        <f t="shared" ref="L351:L352" si="267">D356-D351</f>
        <v>30.693000001964094</v>
      </c>
      <c r="M351" s="302">
        <f t="shared" ref="M351:M352" si="268">F356-F351</f>
        <v>23.034000002064289</v>
      </c>
      <c r="N351" s="302">
        <f t="shared" ref="N351:N352" si="269">SUM(K351:M351)</f>
        <v>110.20599999336847</v>
      </c>
    </row>
    <row r="352" spans="1:14" x14ac:dyDescent="0.3">
      <c r="A352" s="282" t="s">
        <v>354</v>
      </c>
      <c r="B352" s="302">
        <f>SUM(B350:B351)</f>
        <v>1919.0010000151456</v>
      </c>
      <c r="C352" s="299" t="str">
        <f>CONCATENATE("(",ROUND((B352/$H352)*100,1),")")</f>
        <v>(65.1)</v>
      </c>
      <c r="D352" s="302">
        <f>SUM(D350:D351)</f>
        <v>560.38000000046691</v>
      </c>
      <c r="E352" s="299" t="str">
        <f>CONCATENATE("(",ROUND((D352/$H352)*100,1),")")</f>
        <v>(19)</v>
      </c>
      <c r="F352" s="302">
        <f>SUM(F350:F351)</f>
        <v>469.375000016743</v>
      </c>
      <c r="G352" s="299" t="str">
        <f>CONCATENATE("(",ROUND((F352/$H352)*100,1),")")</f>
        <v>(15.9)</v>
      </c>
      <c r="H352" s="302">
        <f>SUM(H350:H351)</f>
        <v>2948.7560000323556</v>
      </c>
      <c r="I352" s="299" t="str">
        <f>CONCATENATE("(",ROUND((H352/$H352)*100,1),")")</f>
        <v>(100)</v>
      </c>
      <c r="K352" s="302">
        <f t="shared" si="266"/>
        <v>99.023999985256069</v>
      </c>
      <c r="L352" s="302">
        <f t="shared" si="267"/>
        <v>49.712000001924253</v>
      </c>
      <c r="M352" s="302">
        <f t="shared" si="268"/>
        <v>43.33199999676367</v>
      </c>
      <c r="N352" s="302">
        <f t="shared" si="269"/>
        <v>192.06799998394399</v>
      </c>
    </row>
    <row r="353" spans="1:14" x14ac:dyDescent="0.3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3">
      <c r="A355" s="282" t="s">
        <v>355</v>
      </c>
      <c r="B355" s="302">
        <f>'Ind T6'!V425</f>
        <v>1159.7379999940808</v>
      </c>
      <c r="C355" s="299" t="str">
        <f>CONCATENATE("(",ROUND((B355/$H357)*100,1),")")</f>
        <v>(36.9)</v>
      </c>
      <c r="D355" s="302">
        <f>'Ind T6'!W425</f>
        <v>194.27399999997931</v>
      </c>
      <c r="E355" s="299" t="str">
        <f>CONCATENATE("(",ROUND((D355/$H357)*100,1),")")</f>
        <v>(6.2)</v>
      </c>
      <c r="F355" s="302">
        <f>'Ind T6'!X425</f>
        <v>299.80600001224525</v>
      </c>
      <c r="G355" s="299" t="str">
        <f>CONCATENATE("(",ROUND((F355/$H357)*100,1),")")</f>
        <v>(9.5)</v>
      </c>
      <c r="H355" s="302">
        <f>SUM(B355,D355,F355)</f>
        <v>1653.8180000063055</v>
      </c>
      <c r="I355" s="299" t="str">
        <f>CONCATENATE("(",ROUND((H355/$H357)*100,1),")")</f>
        <v>(52.7)</v>
      </c>
      <c r="K355" s="302">
        <f>B355-B345</f>
        <v>76.374000002098001</v>
      </c>
      <c r="L355" s="302">
        <f>D355-D345</f>
        <v>30.225999999807527</v>
      </c>
      <c r="M355" s="302">
        <f>F355-F345</f>
        <v>34.683000006296766</v>
      </c>
      <c r="N355" s="302">
        <f>SUM(K355:M355)</f>
        <v>141.28300000820229</v>
      </c>
    </row>
    <row r="356" spans="1:14" x14ac:dyDescent="0.3">
      <c r="A356" s="282" t="s">
        <v>356</v>
      </c>
      <c r="B356" s="302">
        <f>'Ind T6'!V424</f>
        <v>858.28700000632091</v>
      </c>
      <c r="C356" s="299" t="str">
        <f>CONCATENATE("(",ROUND((B356/$H357)*100,1),")")</f>
        <v>(27.3)</v>
      </c>
      <c r="D356" s="302">
        <f>'Ind T6'!W424</f>
        <v>415.81800000241191</v>
      </c>
      <c r="E356" s="299" t="str">
        <f>CONCATENATE("(",ROUND((D356/$H357)*100,1),")")</f>
        <v>(13.2)</v>
      </c>
      <c r="F356" s="302">
        <f>'Ind T6'!X424</f>
        <v>212.90100000126139</v>
      </c>
      <c r="G356" s="299" t="str">
        <f>CONCATENATE("(",ROUND((F356/$H357)*100,1),")")</f>
        <v>(6.8)</v>
      </c>
      <c r="H356" s="302">
        <f t="shared" ref="H356" si="270">SUM(B356,D356,F356)</f>
        <v>1487.0060000099941</v>
      </c>
      <c r="I356" s="299" t="str">
        <f>CONCATENATE("(",ROUND((H356/$H357)*100,1),")")</f>
        <v>(47.3)</v>
      </c>
      <c r="K356" s="302">
        <f t="shared" ref="K356:K357" si="271">B356-B346</f>
        <v>101.05900001379382</v>
      </c>
      <c r="L356" s="302">
        <f t="shared" ref="L356:L357" si="272">D356-D346</f>
        <v>53.132000003186931</v>
      </c>
      <c r="M356" s="302">
        <f t="shared" ref="M356:M357" si="273">F356-F346</f>
        <v>38.185000002889609</v>
      </c>
      <c r="N356" s="302">
        <f t="shared" ref="N356:N357" si="274">SUM(K356:M356)</f>
        <v>192.37600001987036</v>
      </c>
    </row>
    <row r="357" spans="1:14" x14ac:dyDescent="0.3">
      <c r="A357" s="282" t="s">
        <v>354</v>
      </c>
      <c r="B357" s="302">
        <f>SUM(B355:B356)</f>
        <v>2018.0250000004016</v>
      </c>
      <c r="C357" s="299" t="str">
        <f>CONCATENATE("(",ROUND((B357/$H357)*100,1),")")</f>
        <v>(64.3)</v>
      </c>
      <c r="D357" s="302">
        <f>SUM(D355:D356)</f>
        <v>610.09200000239116</v>
      </c>
      <c r="E357" s="299" t="str">
        <f>CONCATENATE("(",ROUND((D357/$H357)*100,1),")")</f>
        <v>(19.4)</v>
      </c>
      <c r="F357" s="302">
        <f>SUM(F355:F356)</f>
        <v>512.70700001350667</v>
      </c>
      <c r="G357" s="299" t="str">
        <f>CONCATENATE("(",ROUND((F357/$H357)*100,1),")")</f>
        <v>(16.3)</v>
      </c>
      <c r="H357" s="302">
        <f>SUM(H355:H356)</f>
        <v>3140.8240000162996</v>
      </c>
      <c r="I357" s="299" t="str">
        <f>CONCATENATE("(",ROUND((H357/$H357)*100,1),")")</f>
        <v>(100)</v>
      </c>
      <c r="K357" s="302">
        <f t="shared" si="271"/>
        <v>177.43300001589159</v>
      </c>
      <c r="L357" s="302">
        <f t="shared" si="272"/>
        <v>83.358000002994459</v>
      </c>
      <c r="M357" s="302">
        <f t="shared" si="273"/>
        <v>72.868000009186403</v>
      </c>
      <c r="N357" s="302">
        <f t="shared" si="274"/>
        <v>333.65900002807246</v>
      </c>
    </row>
    <row r="358" spans="1:14" x14ac:dyDescent="0.3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3">
      <c r="C361" s="181"/>
      <c r="E361" s="181"/>
      <c r="G361" s="181"/>
      <c r="I361" s="181"/>
    </row>
    <row r="362" spans="1:14" x14ac:dyDescent="0.3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3">
      <c r="N363" s="287" t="s">
        <v>377</v>
      </c>
    </row>
    <row r="364" spans="1:14" x14ac:dyDescent="0.3">
      <c r="A364" s="181" t="s">
        <v>378</v>
      </c>
      <c r="B364" s="370" t="s">
        <v>376</v>
      </c>
      <c r="C364" s="370"/>
      <c r="D364" s="370" t="s">
        <v>375</v>
      </c>
      <c r="E364" s="370"/>
      <c r="F364" s="370" t="s">
        <v>374</v>
      </c>
      <c r="G364" s="370"/>
      <c r="H364" s="370" t="s">
        <v>32</v>
      </c>
      <c r="I364" s="370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3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3">
      <c r="A366" s="282" t="s">
        <v>355</v>
      </c>
      <c r="B366" s="302">
        <f>'Ind T6'!L465</f>
        <v>921.97000000024047</v>
      </c>
      <c r="C366" s="299" t="str">
        <f>CONCATENATE("(",ROUND((B366/$H368)*100,1),")")</f>
        <v>(37.1)</v>
      </c>
      <c r="D366" s="302">
        <f>'Ind T6'!M465</f>
        <v>339.73600000023225</v>
      </c>
      <c r="E366" s="299" t="str">
        <f>CONCATENATE("(",ROUND((D366/$H368)*100,1),")")</f>
        <v>(13.7)</v>
      </c>
      <c r="F366" s="302">
        <f>'Ind T6'!N465</f>
        <v>136.17600000176293</v>
      </c>
      <c r="G366" s="299" t="str">
        <f>CONCATENATE("(",ROUND((F366/$H368)*100,1),")")</f>
        <v>(5.5)</v>
      </c>
      <c r="H366" s="302">
        <f>SUM(B366,D366,F366)</f>
        <v>1397.8820000022356</v>
      </c>
      <c r="I366" s="299" t="str">
        <f>CONCATENATE("(",ROUND((H366/$H368)*100,1),")")</f>
        <v>(56.3)</v>
      </c>
      <c r="K366" s="302">
        <f>B371-B366</f>
        <v>55.762000000178432</v>
      </c>
      <c r="L366" s="302">
        <f>D371-D366</f>
        <v>19.77099999994158</v>
      </c>
      <c r="M366" s="302">
        <f>F371-F366</f>
        <v>6.5160000024607427</v>
      </c>
      <c r="N366" s="302">
        <f>SUM(K366:M366)</f>
        <v>82.049000002580755</v>
      </c>
    </row>
    <row r="367" spans="1:14" x14ac:dyDescent="0.3">
      <c r="A367" s="282" t="s">
        <v>356</v>
      </c>
      <c r="B367" s="302">
        <f>'Ind T6'!L464</f>
        <v>499.95899999833864</v>
      </c>
      <c r="C367" s="299" t="str">
        <f>CONCATENATE("(",ROUND((B367/$H368)*100,1),")")</f>
        <v>(20.1)</v>
      </c>
      <c r="D367" s="302">
        <f>'Ind T6'!M464</f>
        <v>450.16300000245701</v>
      </c>
      <c r="E367" s="299" t="str">
        <f>CONCATENATE("(",ROUND((D367/$H368)*100,1),")")</f>
        <v>(18.1)</v>
      </c>
      <c r="F367" s="302">
        <f>'Ind T6'!N464</f>
        <v>135.23599999706099</v>
      </c>
      <c r="G367" s="299" t="str">
        <f>CONCATENATE("(",ROUND((F367/$H368)*100,1),")")</f>
        <v>(5.4)</v>
      </c>
      <c r="H367" s="302">
        <f t="shared" ref="H367" si="275">SUM(B367,D367,F367)</f>
        <v>1085.3579999978567</v>
      </c>
      <c r="I367" s="299" t="str">
        <f>CONCATENATE("(",ROUND((H367/$H368)*100,1),")")</f>
        <v>(43.7)</v>
      </c>
      <c r="K367" s="302">
        <f t="shared" ref="K367:K368" si="276">B372-B367</f>
        <v>39.964000009159804</v>
      </c>
      <c r="L367" s="302">
        <f t="shared" ref="L367:L368" si="277">D372-D367</f>
        <v>18.613000001712351</v>
      </c>
      <c r="M367" s="302">
        <f t="shared" ref="M367:M368" si="278">F372-F367</f>
        <v>6.5370000018392318</v>
      </c>
      <c r="N367" s="302">
        <f t="shared" ref="N367:N368" si="279">SUM(K367:M367)</f>
        <v>65.114000012711386</v>
      </c>
    </row>
    <row r="368" spans="1:14" x14ac:dyDescent="0.3">
      <c r="A368" s="282" t="s">
        <v>354</v>
      </c>
      <c r="B368" s="302">
        <f>SUM(B366:B367)</f>
        <v>1421.928999998579</v>
      </c>
      <c r="C368" s="299" t="str">
        <f>CONCATENATE("(",ROUND((B368/$H368)*100,1),")")</f>
        <v>(57.3)</v>
      </c>
      <c r="D368" s="302">
        <f>SUM(D366:D367)</f>
        <v>789.89900000268926</v>
      </c>
      <c r="E368" s="299" t="str">
        <f>CONCATENATE("(",ROUND((D368/$H368)*100,1),")")</f>
        <v>(31.8)</v>
      </c>
      <c r="F368" s="302">
        <f>SUM(F366:F367)</f>
        <v>271.41199999882394</v>
      </c>
      <c r="G368" s="299" t="str">
        <f>CONCATENATE("(",ROUND((F368/$H368)*100,1),")")</f>
        <v>(10.9)</v>
      </c>
      <c r="H368" s="302">
        <f>SUM(H366:H367)</f>
        <v>2483.2400000000926</v>
      </c>
      <c r="I368" s="299" t="str">
        <f>CONCATENATE("(",ROUND((H368/$H368)*100,1),")")</f>
        <v>(100)</v>
      </c>
      <c r="K368" s="302">
        <f t="shared" si="276"/>
        <v>95.72600000933835</v>
      </c>
      <c r="L368" s="302">
        <f t="shared" si="277"/>
        <v>38.384000001653931</v>
      </c>
      <c r="M368" s="302">
        <f t="shared" si="278"/>
        <v>13.053000004299975</v>
      </c>
      <c r="N368" s="302">
        <f t="shared" si="279"/>
        <v>147.16300001529225</v>
      </c>
    </row>
    <row r="369" spans="1:14" x14ac:dyDescent="0.3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3">
      <c r="A371" s="282" t="s">
        <v>355</v>
      </c>
      <c r="B371" s="302">
        <f>'Ind T6'!Q465</f>
        <v>977.73200000041891</v>
      </c>
      <c r="C371" s="299" t="str">
        <f>CONCATENATE("(",ROUND((B371/$H373)*100,1),")")</f>
        <v>(37.2)</v>
      </c>
      <c r="D371" s="302">
        <f>'Ind T6'!R465</f>
        <v>359.50700000017383</v>
      </c>
      <c r="E371" s="299" t="str">
        <f>CONCATENATE("(",ROUND((D371/$H373)*100,1),")")</f>
        <v>(13.7)</v>
      </c>
      <c r="F371" s="302">
        <f>'Ind T6'!S465</f>
        <v>142.69200000422367</v>
      </c>
      <c r="G371" s="299" t="str">
        <f>CONCATENATE("(",ROUND((F371/$H373)*100,1),")")</f>
        <v>(5.4)</v>
      </c>
      <c r="H371" s="302">
        <f>SUM(B371,D371,F371)</f>
        <v>1479.9310000048165</v>
      </c>
      <c r="I371" s="299" t="str">
        <f>CONCATENATE("(",ROUND((H371/$H373)*100,1),")")</f>
        <v>(56.3)</v>
      </c>
      <c r="K371" s="302">
        <f>B376-B371</f>
        <v>68.885999999223827</v>
      </c>
      <c r="L371" s="302">
        <f>D376-D371</f>
        <v>22.073000000690172</v>
      </c>
      <c r="M371" s="302">
        <f>F376-F371</f>
        <v>11.434999999098039</v>
      </c>
      <c r="N371" s="302">
        <f>SUM(K371:M371)</f>
        <v>102.39399999901204</v>
      </c>
    </row>
    <row r="372" spans="1:14" x14ac:dyDescent="0.3">
      <c r="A372" s="282" t="s">
        <v>356</v>
      </c>
      <c r="B372" s="302">
        <f>'Ind T6'!Q464</f>
        <v>539.92300000749844</v>
      </c>
      <c r="C372" s="299" t="str">
        <f>CONCATENATE("(",ROUND((B372/$H373)*100,1),")")</f>
        <v>(20.5)</v>
      </c>
      <c r="D372" s="302">
        <f>'Ind T6'!R464</f>
        <v>468.77600000416936</v>
      </c>
      <c r="E372" s="299" t="str">
        <f>CONCATENATE("(",ROUND((D372/$H373)*100,1),")")</f>
        <v>(17.8)</v>
      </c>
      <c r="F372" s="302">
        <f>'Ind T6'!S464</f>
        <v>141.77299999890022</v>
      </c>
      <c r="G372" s="299" t="str">
        <f>CONCATENATE("(",ROUND((F372/$H373)*100,1),")")</f>
        <v>(5.4)</v>
      </c>
      <c r="H372" s="302">
        <f t="shared" ref="H372" si="280">SUM(B372,D372,F372)</f>
        <v>1150.4720000105681</v>
      </c>
      <c r="I372" s="299" t="str">
        <f>CONCATENATE("(",ROUND((H372/$H373)*100,1),")")</f>
        <v>(43.7)</v>
      </c>
      <c r="K372" s="302">
        <f t="shared" ref="K372:K373" si="281">B377-B372</f>
        <v>51.06199998845716</v>
      </c>
      <c r="L372" s="302">
        <f t="shared" ref="L372:L373" si="282">D377-D372</f>
        <v>16.442999995542323</v>
      </c>
      <c r="M372" s="302">
        <f t="shared" ref="M372:M373" si="283">F377-F372</f>
        <v>12.160000000957638</v>
      </c>
      <c r="N372" s="302">
        <f t="shared" ref="N372:N373" si="284">SUM(K372:M372)</f>
        <v>79.66499998495712</v>
      </c>
    </row>
    <row r="373" spans="1:14" x14ac:dyDescent="0.3">
      <c r="A373" s="282" t="s">
        <v>354</v>
      </c>
      <c r="B373" s="302">
        <f>SUM(B371:B372)</f>
        <v>1517.6550000079174</v>
      </c>
      <c r="C373" s="299" t="str">
        <f>CONCATENATE("(",ROUND((B373/$H373)*100,1),")")</f>
        <v>(57.7)</v>
      </c>
      <c r="D373" s="302">
        <f>SUM(D371:D372)</f>
        <v>828.28300000434319</v>
      </c>
      <c r="E373" s="299" t="str">
        <f>CONCATENATE("(",ROUND((D373/$H373)*100,1),")")</f>
        <v>(31.5)</v>
      </c>
      <c r="F373" s="302">
        <f>SUM(F371:F372)</f>
        <v>284.46500000312392</v>
      </c>
      <c r="G373" s="299" t="str">
        <f>CONCATENATE("(",ROUND((F373/$H373)*100,1),")")</f>
        <v>(10.8)</v>
      </c>
      <c r="H373" s="302">
        <f>SUM(H371:H372)</f>
        <v>2630.4030000153844</v>
      </c>
      <c r="I373" s="299" t="str">
        <f>CONCATENATE("(",ROUND((H373/$H373)*100,1),")")</f>
        <v>(100)</v>
      </c>
      <c r="K373" s="302">
        <f t="shared" si="281"/>
        <v>119.94799998768099</v>
      </c>
      <c r="L373" s="302">
        <f t="shared" si="282"/>
        <v>38.515999996232495</v>
      </c>
      <c r="M373" s="302">
        <f t="shared" si="283"/>
        <v>23.59500000005562</v>
      </c>
      <c r="N373" s="302">
        <f t="shared" si="284"/>
        <v>182.0589999839691</v>
      </c>
    </row>
    <row r="374" spans="1:14" x14ac:dyDescent="0.3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3">
      <c r="A376" s="282" t="s">
        <v>355</v>
      </c>
      <c r="B376" s="302">
        <f>'Ind T6'!V465</f>
        <v>1046.6179999996427</v>
      </c>
      <c r="C376" s="299" t="str">
        <f>CONCATENATE("(",ROUND((B376/$H378)*100,1),")")</f>
        <v>(37.2)</v>
      </c>
      <c r="D376" s="302">
        <f>'Ind T6'!W465</f>
        <v>381.580000000864</v>
      </c>
      <c r="E376" s="299" t="str">
        <f>CONCATENATE("(",ROUND((D376/$H378)*100,1),")")</f>
        <v>(13.6)</v>
      </c>
      <c r="F376" s="302">
        <f>'Ind T6'!X465</f>
        <v>154.12700000332171</v>
      </c>
      <c r="G376" s="299" t="str">
        <f>CONCATENATE("(",ROUND((F376/$H378)*100,1),")")</f>
        <v>(5.5)</v>
      </c>
      <c r="H376" s="302">
        <f>SUM(B376,D376,F376)</f>
        <v>1582.3250000038283</v>
      </c>
      <c r="I376" s="299" t="str">
        <f>CONCATENATE("(",ROUND((H376/$H378)*100,1),")")</f>
        <v>(56.3)</v>
      </c>
      <c r="K376" s="302">
        <f>B376-B366</f>
        <v>124.64799999940226</v>
      </c>
      <c r="L376" s="302">
        <f>D376-D366</f>
        <v>41.844000000631752</v>
      </c>
      <c r="M376" s="302">
        <f>F376-F366</f>
        <v>17.951000001558782</v>
      </c>
      <c r="N376" s="302">
        <f>SUM(K376:M376)</f>
        <v>184.44300000159279</v>
      </c>
    </row>
    <row r="377" spans="1:14" x14ac:dyDescent="0.3">
      <c r="A377" s="282" t="s">
        <v>356</v>
      </c>
      <c r="B377" s="302">
        <f>'Ind T6'!V464</f>
        <v>590.9849999959556</v>
      </c>
      <c r="C377" s="299" t="str">
        <f>CONCATENATE("(",ROUND((B377/$H378)*100,1),")")</f>
        <v>(21)</v>
      </c>
      <c r="D377" s="302">
        <f>'Ind T6'!W464</f>
        <v>485.21899999971168</v>
      </c>
      <c r="E377" s="299" t="str">
        <f>CONCATENATE("(",ROUND((D377/$H378)*100,1),")")</f>
        <v>(17.3)</v>
      </c>
      <c r="F377" s="302">
        <f>'Ind T6'!X464</f>
        <v>153.93299999985786</v>
      </c>
      <c r="G377" s="299" t="str">
        <f>CONCATENATE("(",ROUND((F377/$H378)*100,1),")")</f>
        <v>(5.5)</v>
      </c>
      <c r="H377" s="302">
        <f t="shared" ref="H377" si="285">SUM(B377,D377,F377)</f>
        <v>1230.1369999955252</v>
      </c>
      <c r="I377" s="299" t="str">
        <f>CONCATENATE("(",ROUND((H377/$H378)*100,1),")")</f>
        <v>(43.7)</v>
      </c>
      <c r="K377" s="302">
        <f t="shared" ref="K377:K378" si="286">B377-B367</f>
        <v>91.025999997616964</v>
      </c>
      <c r="L377" s="302">
        <f t="shared" ref="L377:L378" si="287">D377-D367</f>
        <v>35.055999997254673</v>
      </c>
      <c r="M377" s="302">
        <f t="shared" ref="M377:M378" si="288">F377-F367</f>
        <v>18.697000002796869</v>
      </c>
      <c r="N377" s="302">
        <f t="shared" ref="N377:N378" si="289">SUM(K377:M377)</f>
        <v>144.77899999766851</v>
      </c>
    </row>
    <row r="378" spans="1:14" x14ac:dyDescent="0.3">
      <c r="A378" s="282" t="s">
        <v>354</v>
      </c>
      <c r="B378" s="302">
        <f>SUM(B376:B377)</f>
        <v>1637.6029999955983</v>
      </c>
      <c r="C378" s="299" t="str">
        <f>CONCATENATE("(",ROUND((B378/$H378)*100,1),")")</f>
        <v>(58.2)</v>
      </c>
      <c r="D378" s="302">
        <f>SUM(D376:D377)</f>
        <v>866.79900000057569</v>
      </c>
      <c r="E378" s="299" t="str">
        <f>CONCATENATE("(",ROUND((D378/$H378)*100,1),")")</f>
        <v>(30.8)</v>
      </c>
      <c r="F378" s="302">
        <f>SUM(F376:F377)</f>
        <v>308.06000000317954</v>
      </c>
      <c r="G378" s="299" t="str">
        <f>CONCATENATE("(",ROUND((F378/$H378)*100,1),")")</f>
        <v>(11)</v>
      </c>
      <c r="H378" s="302">
        <f>SUM(H376:H377)</f>
        <v>2812.4619999993538</v>
      </c>
      <c r="I378" s="299" t="str">
        <f>CONCATENATE("(",ROUND((H378/$H378)*100,1),")")</f>
        <v>(100)</v>
      </c>
      <c r="K378" s="302">
        <f t="shared" si="286"/>
        <v>215.67399999701934</v>
      </c>
      <c r="L378" s="302">
        <f t="shared" si="287"/>
        <v>76.899999997886425</v>
      </c>
      <c r="M378" s="302">
        <f t="shared" si="288"/>
        <v>36.648000004355595</v>
      </c>
      <c r="N378" s="302">
        <f t="shared" si="289"/>
        <v>329.22199999926136</v>
      </c>
    </row>
    <row r="379" spans="1:14" x14ac:dyDescent="0.3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3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3">
      <c r="N384" s="287" t="s">
        <v>377</v>
      </c>
    </row>
    <row r="385" spans="1:14" x14ac:dyDescent="0.3">
      <c r="A385" s="181" t="s">
        <v>378</v>
      </c>
      <c r="B385" s="370" t="s">
        <v>376</v>
      </c>
      <c r="C385" s="370"/>
      <c r="D385" s="370" t="s">
        <v>375</v>
      </c>
      <c r="E385" s="370"/>
      <c r="F385" s="370" t="s">
        <v>374</v>
      </c>
      <c r="G385" s="370"/>
      <c r="H385" s="370" t="s">
        <v>32</v>
      </c>
      <c r="I385" s="370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3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3">
      <c r="A387" s="282" t="s">
        <v>355</v>
      </c>
      <c r="B387" s="302">
        <f>'Ind T6'!L475</f>
        <v>403.10099999868362</v>
      </c>
      <c r="C387" s="299" t="str">
        <f>CONCATENATE("(",ROUND((B387/$H389)*100,1),")")</f>
        <v>(36.4)</v>
      </c>
      <c r="D387" s="302">
        <f>'Ind T6'!M475</f>
        <v>52.859999999862637</v>
      </c>
      <c r="E387" s="299" t="str">
        <f>CONCATENATE("(",ROUND((D387/$H389)*100,1),")")</f>
        <v>(4.8)</v>
      </c>
      <c r="F387" s="302">
        <f>'Ind T6'!N475</f>
        <v>21.307000000287584</v>
      </c>
      <c r="G387" s="299" t="str">
        <f>CONCATENATE("(",ROUND((F387/$H389)*100,1),")")</f>
        <v>(1.9)</v>
      </c>
      <c r="H387" s="302">
        <f>SUM(B387,D387,F387)</f>
        <v>477.26799999883383</v>
      </c>
      <c r="I387" s="299" t="str">
        <f>CONCATENATE("(",ROUND((H387/$H389)*100,1),")")</f>
        <v>(43.1)</v>
      </c>
      <c r="K387" s="302">
        <f>B392-B387</f>
        <v>4.1360000015346827</v>
      </c>
      <c r="L387" s="302">
        <f>D392-D387</f>
        <v>4.6700000001355306</v>
      </c>
      <c r="M387" s="302">
        <f>F392-F387</f>
        <v>0.62900000069347328</v>
      </c>
      <c r="N387" s="302">
        <f>SUM(K387:M387)</f>
        <v>9.4350000023636866</v>
      </c>
    </row>
    <row r="388" spans="1:14" x14ac:dyDescent="0.3">
      <c r="A388" s="282" t="s">
        <v>356</v>
      </c>
      <c r="B388" s="302">
        <f>'Ind T6'!L474</f>
        <v>343.07499999886846</v>
      </c>
      <c r="C388" s="299" t="str">
        <f>CONCATENATE("(",ROUND((B388/$H389)*100,1),")")</f>
        <v>(31)</v>
      </c>
      <c r="D388" s="302">
        <f>'Ind T6'!M474</f>
        <v>260.50599999878142</v>
      </c>
      <c r="E388" s="299" t="str">
        <f>CONCATENATE("(",ROUND((D388/$H389)*100,1),")")</f>
        <v>(23.5)</v>
      </c>
      <c r="F388" s="302">
        <f>'Ind T6'!N474</f>
        <v>25.584000000098879</v>
      </c>
      <c r="G388" s="299" t="str">
        <f>CONCATENATE("(",ROUND((F388/$H389)*100,1),")")</f>
        <v>(2.3)</v>
      </c>
      <c r="H388" s="302">
        <f t="shared" ref="H388" si="290">SUM(B388,D388,F388)</f>
        <v>629.16499999774874</v>
      </c>
      <c r="I388" s="299" t="str">
        <f>CONCATENATE("(",ROUND((H388/$H389)*100,1),")")</f>
        <v>(56.9)</v>
      </c>
      <c r="K388" s="302">
        <f t="shared" ref="K388:K389" si="291">B393-B388</f>
        <v>10.41700000270697</v>
      </c>
      <c r="L388" s="302">
        <f t="shared" ref="L388:L389" si="292">D393-D388</f>
        <v>8.5390000002790316</v>
      </c>
      <c r="M388" s="302">
        <f t="shared" ref="M388:M389" si="293">F393-F388</f>
        <v>0.74899999987717436</v>
      </c>
      <c r="N388" s="302">
        <f t="shared" ref="N388:N389" si="294">SUM(K388:M388)</f>
        <v>19.705000002863176</v>
      </c>
    </row>
    <row r="389" spans="1:14" x14ac:dyDescent="0.3">
      <c r="A389" s="282" t="s">
        <v>354</v>
      </c>
      <c r="B389" s="302">
        <f>SUM(B387:B388)</f>
        <v>746.17599999755203</v>
      </c>
      <c r="C389" s="299" t="str">
        <f>CONCATENATE("(",ROUND((B389/$H389)*100,1),")")</f>
        <v>(67.4)</v>
      </c>
      <c r="D389" s="302">
        <f>SUM(D387:D388)</f>
        <v>313.36599999864404</v>
      </c>
      <c r="E389" s="299" t="str">
        <f>CONCATENATE("(",ROUND((D389/$H389)*100,1),")")</f>
        <v>(28.3)</v>
      </c>
      <c r="F389" s="302">
        <f>SUM(F387:F388)</f>
        <v>46.891000000386462</v>
      </c>
      <c r="G389" s="299" t="str">
        <f>CONCATENATE("(",ROUND((F389/$H389)*100,1),")")</f>
        <v>(4.2)</v>
      </c>
      <c r="H389" s="302">
        <f>SUM(H387:H388)</f>
        <v>1106.4329999965826</v>
      </c>
      <c r="I389" s="299" t="str">
        <f>CONCATENATE("(",ROUND((H389/$H389)*100,1),")")</f>
        <v>(100)</v>
      </c>
      <c r="K389" s="302">
        <f t="shared" si="291"/>
        <v>14.553000004241767</v>
      </c>
      <c r="L389" s="302">
        <f t="shared" si="292"/>
        <v>13.209000000414562</v>
      </c>
      <c r="M389" s="302">
        <f t="shared" si="293"/>
        <v>1.3780000005706441</v>
      </c>
      <c r="N389" s="302">
        <f t="shared" si="294"/>
        <v>29.140000005226973</v>
      </c>
    </row>
    <row r="390" spans="1:14" x14ac:dyDescent="0.3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3">
      <c r="A392" s="282" t="s">
        <v>355</v>
      </c>
      <c r="B392" s="302">
        <f>'Ind T6'!Q475</f>
        <v>407.2370000002183</v>
      </c>
      <c r="C392" s="299" t="str">
        <f>CONCATENATE("(",ROUND((B392/$H394)*100,1),")")</f>
        <v>(35.9)</v>
      </c>
      <c r="D392" s="302">
        <f>'Ind T6'!R475</f>
        <v>57.529999999998168</v>
      </c>
      <c r="E392" s="299" t="str">
        <f>CONCATENATE("(",ROUND((D392/$H394)*100,1),")")</f>
        <v>(5.1)</v>
      </c>
      <c r="F392" s="302">
        <f>'Ind T6'!S475</f>
        <v>21.936000000981057</v>
      </c>
      <c r="G392" s="299" t="str">
        <f>CONCATENATE("(",ROUND((F392/$H394)*100,1),")")</f>
        <v>(1.9)</v>
      </c>
      <c r="H392" s="302">
        <f>SUM(B392,D392,F392)</f>
        <v>486.70300000119749</v>
      </c>
      <c r="I392" s="299" t="str">
        <f>CONCATENATE("(",ROUND((H392/$H394)*100,1),")")</f>
        <v>(42.9)</v>
      </c>
      <c r="K392" s="302">
        <f>B397-B392</f>
        <v>-5.6430000003304031</v>
      </c>
      <c r="L392" s="302">
        <f>D397-D392</f>
        <v>7.8989999999499219</v>
      </c>
      <c r="M392" s="302">
        <f>F397-F392</f>
        <v>0.75099999970872133</v>
      </c>
      <c r="N392" s="302">
        <f>SUM(K392:M392)</f>
        <v>3.0069999993282401</v>
      </c>
    </row>
    <row r="393" spans="1:14" x14ac:dyDescent="0.3">
      <c r="A393" s="282" t="s">
        <v>356</v>
      </c>
      <c r="B393" s="302">
        <f>'Ind T6'!Q474</f>
        <v>353.49200000157543</v>
      </c>
      <c r="C393" s="299" t="str">
        <f>CONCATENATE("(",ROUND((B393/$H394)*100,1),")")</f>
        <v>(31.1)</v>
      </c>
      <c r="D393" s="302">
        <f>'Ind T6'!R474</f>
        <v>269.04499999906045</v>
      </c>
      <c r="E393" s="299" t="str">
        <f>CONCATENATE("(",ROUND((D393/$H394)*100,1),")")</f>
        <v>(23.7)</v>
      </c>
      <c r="F393" s="302">
        <f>'Ind T6'!S474</f>
        <v>26.332999999976053</v>
      </c>
      <c r="G393" s="299" t="str">
        <f>CONCATENATE("(",ROUND((F393/$H394)*100,1),")")</f>
        <v>(2.3)</v>
      </c>
      <c r="H393" s="302">
        <f t="shared" ref="H393" si="295">SUM(B393,D393,F393)</f>
        <v>648.87000000061198</v>
      </c>
      <c r="I393" s="299" t="str">
        <f>CONCATENATE("(",ROUND((H393/$H394)*100,1),")")</f>
        <v>(57.1)</v>
      </c>
      <c r="K393" s="302">
        <f t="shared" ref="K393:K394" si="296">B398-B393</f>
        <v>10.033000000612844</v>
      </c>
      <c r="L393" s="302">
        <f t="shared" ref="L393:L394" si="297">D398-D393</f>
        <v>8.588000001463115</v>
      </c>
      <c r="M393" s="302">
        <f t="shared" ref="M393:M394" si="298">F398-F393</f>
        <v>0.84700000008339416</v>
      </c>
      <c r="N393" s="302">
        <f t="shared" ref="N393:N394" si="299">SUM(K393:M393)</f>
        <v>19.468000002159354</v>
      </c>
    </row>
    <row r="394" spans="1:14" x14ac:dyDescent="0.3">
      <c r="A394" s="282" t="s">
        <v>354</v>
      </c>
      <c r="B394" s="302">
        <f>SUM(B392:B393)</f>
        <v>760.72900000179379</v>
      </c>
      <c r="C394" s="299" t="str">
        <f>CONCATENATE("(",ROUND((B394/$H394)*100,1),")")</f>
        <v>(67)</v>
      </c>
      <c r="D394" s="302">
        <f>SUM(D392:D393)</f>
        <v>326.5749999990586</v>
      </c>
      <c r="E394" s="299" t="str">
        <f>CONCATENATE("(",ROUND((D394/$H394)*100,1),")")</f>
        <v>(28.8)</v>
      </c>
      <c r="F394" s="302">
        <f>SUM(F392:F393)</f>
        <v>48.269000000957107</v>
      </c>
      <c r="G394" s="299" t="str">
        <f>CONCATENATE("(",ROUND((F394/$H394)*100,1),")")</f>
        <v>(4.3)</v>
      </c>
      <c r="H394" s="302">
        <f>SUM(H392:H393)</f>
        <v>1135.5730000018095</v>
      </c>
      <c r="I394" s="299" t="str">
        <f>CONCATENATE("(",ROUND((H394/$H394)*100,1),")")</f>
        <v>(100)</v>
      </c>
      <c r="K394" s="302">
        <f t="shared" si="296"/>
        <v>4.3900000002823845</v>
      </c>
      <c r="L394" s="302">
        <f t="shared" si="297"/>
        <v>16.487000001413037</v>
      </c>
      <c r="M394" s="302">
        <f t="shared" si="298"/>
        <v>1.5979999997921226</v>
      </c>
      <c r="N394" s="302">
        <f t="shared" si="299"/>
        <v>22.475000001487544</v>
      </c>
    </row>
    <row r="395" spans="1:14" x14ac:dyDescent="0.3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3">
      <c r="A397" s="282" t="s">
        <v>355</v>
      </c>
      <c r="B397" s="302">
        <f>'Ind T6'!V475</f>
        <v>401.5939999998879</v>
      </c>
      <c r="C397" s="299" t="str">
        <f>CONCATENATE("(",ROUND((B397/$H399)*100,1),")")</f>
        <v>(34.7)</v>
      </c>
      <c r="D397" s="302">
        <f>'Ind T6'!W475</f>
        <v>65.42899999994809</v>
      </c>
      <c r="E397" s="299" t="str">
        <f>CONCATENATE("(",ROUND((D397/$H399)*100,1),")")</f>
        <v>(5.6)</v>
      </c>
      <c r="F397" s="302">
        <f>'Ind T6'!X475</f>
        <v>22.687000000689778</v>
      </c>
      <c r="G397" s="299" t="str">
        <f>CONCATENATE("(",ROUND((F397/$H399)*100,1),")")</f>
        <v>(2)</v>
      </c>
      <c r="H397" s="302">
        <f>SUM(B397,D397,F397)</f>
        <v>489.71000000052572</v>
      </c>
      <c r="I397" s="299" t="str">
        <f>CONCATENATE("(",ROUND((H397/$H399)*100,1),")")</f>
        <v>(42.3)</v>
      </c>
      <c r="K397" s="302">
        <f>B397-B387</f>
        <v>-1.5069999987957203</v>
      </c>
      <c r="L397" s="302">
        <f>D397-D387</f>
        <v>12.569000000085452</v>
      </c>
      <c r="M397" s="302">
        <f>F397-F387</f>
        <v>1.3800000004021946</v>
      </c>
      <c r="N397" s="302">
        <f>SUM(K397:M397)</f>
        <v>12.442000001691927</v>
      </c>
    </row>
    <row r="398" spans="1:14" x14ac:dyDescent="0.3">
      <c r="A398" s="282" t="s">
        <v>356</v>
      </c>
      <c r="B398" s="302">
        <f>'Ind T6'!V474</f>
        <v>363.52500000218828</v>
      </c>
      <c r="C398" s="299" t="str">
        <f>CONCATENATE("(",ROUND((B398/$H399)*100,1),")")</f>
        <v>(31.4)</v>
      </c>
      <c r="D398" s="302">
        <f>'Ind T6'!W474</f>
        <v>277.63300000052357</v>
      </c>
      <c r="E398" s="299" t="str">
        <f>CONCATENATE("(",ROUND((D398/$H399)*100,1),")")</f>
        <v>(24)</v>
      </c>
      <c r="F398" s="302">
        <f>'Ind T6'!X474</f>
        <v>27.180000000059447</v>
      </c>
      <c r="G398" s="299" t="str">
        <f>CONCATENATE("(",ROUND((F398/$H399)*100,1),")")</f>
        <v>(2.3)</v>
      </c>
      <c r="H398" s="302">
        <f t="shared" ref="H398" si="300">SUM(B398,D398,F398)</f>
        <v>668.3380000027712</v>
      </c>
      <c r="I398" s="299" t="str">
        <f>CONCATENATE("(",ROUND((H398/$H399)*100,1),")")</f>
        <v>(57.7)</v>
      </c>
      <c r="K398" s="302">
        <f t="shared" ref="K398:K399" si="301">B398-B388</f>
        <v>20.450000003319815</v>
      </c>
      <c r="L398" s="302">
        <f t="shared" ref="L398:L399" si="302">D398-D388</f>
        <v>17.127000001742147</v>
      </c>
      <c r="M398" s="302">
        <f t="shared" ref="M398:M399" si="303">F398-F388</f>
        <v>1.5959999999605685</v>
      </c>
      <c r="N398" s="302">
        <f t="shared" ref="N398:N399" si="304">SUM(K398:M398)</f>
        <v>39.17300000502253</v>
      </c>
    </row>
    <row r="399" spans="1:14" x14ac:dyDescent="0.3">
      <c r="A399" s="282" t="s">
        <v>354</v>
      </c>
      <c r="B399" s="302">
        <f>SUM(B397:B398)</f>
        <v>765.11900000207618</v>
      </c>
      <c r="C399" s="299" t="str">
        <f>CONCATENATE("(",ROUND((B399/$H399)*100,1),")")</f>
        <v>(66.1)</v>
      </c>
      <c r="D399" s="302">
        <f>SUM(D397:D398)</f>
        <v>343.06200000047164</v>
      </c>
      <c r="E399" s="299" t="str">
        <f>CONCATENATE("(",ROUND((D399/$H399)*100,1),")")</f>
        <v>(29.6)</v>
      </c>
      <c r="F399" s="302">
        <f>SUM(F397:F398)</f>
        <v>49.867000000749229</v>
      </c>
      <c r="G399" s="299" t="str">
        <f>CONCATENATE("(",ROUND((F399/$H399)*100,1),")")</f>
        <v>(4.3)</v>
      </c>
      <c r="H399" s="302">
        <f>SUM(H397:H398)</f>
        <v>1158.0480000032969</v>
      </c>
      <c r="I399" s="299" t="str">
        <f>CONCATENATE("(",ROUND((H399/$H399)*100,1),")")</f>
        <v>(100)</v>
      </c>
      <c r="K399" s="302">
        <f t="shared" si="301"/>
        <v>18.943000004524151</v>
      </c>
      <c r="L399" s="302">
        <f t="shared" si="302"/>
        <v>29.696000001827599</v>
      </c>
      <c r="M399" s="302">
        <f t="shared" si="303"/>
        <v>2.9760000003627667</v>
      </c>
      <c r="N399" s="302">
        <f t="shared" si="304"/>
        <v>51.615000006714517</v>
      </c>
    </row>
    <row r="400" spans="1:14" x14ac:dyDescent="0.3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3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3">
      <c r="N405" s="287" t="s">
        <v>377</v>
      </c>
    </row>
    <row r="406" spans="1:14" x14ac:dyDescent="0.3">
      <c r="A406" s="181" t="s">
        <v>378</v>
      </c>
      <c r="B406" s="370" t="s">
        <v>376</v>
      </c>
      <c r="C406" s="370"/>
      <c r="D406" s="370" t="s">
        <v>375</v>
      </c>
      <c r="E406" s="370"/>
      <c r="F406" s="370" t="s">
        <v>374</v>
      </c>
      <c r="G406" s="370"/>
      <c r="H406" s="370" t="s">
        <v>32</v>
      </c>
      <c r="I406" s="370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3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3">
      <c r="A408" s="282" t="s">
        <v>355</v>
      </c>
      <c r="B408" s="302">
        <f>'Ind T6'!L485</f>
        <v>463.67000001589633</v>
      </c>
      <c r="C408" s="299" t="str">
        <f>CONCATENATE("(",ROUND((B408/$H410)*100,1),")")</f>
        <v>(18.3)</v>
      </c>
      <c r="D408" s="302">
        <f>'Ind T6'!M485</f>
        <v>181.83700000519244</v>
      </c>
      <c r="E408" s="299" t="str">
        <f>CONCATENATE("(",ROUND((D408/$H410)*100,1),")")</f>
        <v>(7.2)</v>
      </c>
      <c r="F408" s="302">
        <f>'Ind T6'!N485</f>
        <v>107.05800000289776</v>
      </c>
      <c r="G408" s="299" t="str">
        <f>CONCATENATE("(",ROUND((F408/$H410)*100,1),")")</f>
        <v>(4.2)</v>
      </c>
      <c r="H408" s="302">
        <f>SUM(B408,D408,F408)</f>
        <v>752.5650000239865</v>
      </c>
      <c r="I408" s="299" t="str">
        <f>CONCATENATE("(",ROUND((H408/$H410)*100,1),")")</f>
        <v>(29.7)</v>
      </c>
      <c r="K408" s="302">
        <f>B413-B408</f>
        <v>-3.1890000261674913</v>
      </c>
      <c r="L408" s="302">
        <f>D413-D408</f>
        <v>3.1549999941906037</v>
      </c>
      <c r="M408" s="302">
        <f>F413-F408</f>
        <v>2.0560000056898389</v>
      </c>
      <c r="N408" s="302">
        <f>SUM(K408:M408)</f>
        <v>2.0219999737129513</v>
      </c>
    </row>
    <row r="409" spans="1:14" x14ac:dyDescent="0.3">
      <c r="A409" s="282" t="s">
        <v>356</v>
      </c>
      <c r="B409" s="302">
        <f>'Ind T6'!L484</f>
        <v>724.83700002794342</v>
      </c>
      <c r="C409" s="299" t="str">
        <f>CONCATENATE("(",ROUND((B409/$H410)*100,1),")")</f>
        <v>(28.6)</v>
      </c>
      <c r="D409" s="302">
        <f>'Ind T6'!M484</f>
        <v>877.25199995914556</v>
      </c>
      <c r="E409" s="299" t="str">
        <f>CONCATENATE("(",ROUND((D409/$H410)*100,1),")")</f>
        <v>(34.6)</v>
      </c>
      <c r="F409" s="302">
        <f>'Ind T6'!N484</f>
        <v>177.12599999875852</v>
      </c>
      <c r="G409" s="299" t="str">
        <f>CONCATENATE("(",ROUND((F409/$H410)*100,1),")")</f>
        <v>(7)</v>
      </c>
      <c r="H409" s="302">
        <f t="shared" ref="H409" si="305">SUM(B409,D409,F409)</f>
        <v>1779.2149999858475</v>
      </c>
      <c r="I409" s="299" t="str">
        <f>CONCATENATE("(",ROUND((H409/$H410)*100,1),")")</f>
        <v>(70.3)</v>
      </c>
      <c r="K409" s="302">
        <f t="shared" ref="K409:K410" si="306">B414-B409</f>
        <v>21.015999885335759</v>
      </c>
      <c r="L409" s="302">
        <f t="shared" ref="L409:L410" si="307">D414-D409</f>
        <v>-13.069000034989699</v>
      </c>
      <c r="M409" s="302">
        <f t="shared" ref="M409:M410" si="308">F414-F409</f>
        <v>1.5750000009961127</v>
      </c>
      <c r="N409" s="302">
        <f t="shared" ref="N409:N410" si="309">SUM(K409:M409)</f>
        <v>9.5219998513421729</v>
      </c>
    </row>
    <row r="410" spans="1:14" x14ac:dyDescent="0.3">
      <c r="A410" s="282" t="s">
        <v>354</v>
      </c>
      <c r="B410" s="302">
        <f>SUM(B408:B409)</f>
        <v>1188.5070000438398</v>
      </c>
      <c r="C410" s="299" t="str">
        <f>CONCATENATE("(",ROUND((B410/$H410)*100,1),")")</f>
        <v>(46.9)</v>
      </c>
      <c r="D410" s="302">
        <f>SUM(D408:D409)</f>
        <v>1059.088999964338</v>
      </c>
      <c r="E410" s="299" t="str">
        <f>CONCATENATE("(",ROUND((D410/$H410)*100,1),")")</f>
        <v>(41.8)</v>
      </c>
      <c r="F410" s="302">
        <f>SUM(F408:F409)</f>
        <v>284.18400000165627</v>
      </c>
      <c r="G410" s="299" t="str">
        <f>CONCATENATE("(",ROUND((F410/$H410)*100,1),")")</f>
        <v>(11.2)</v>
      </c>
      <c r="H410" s="302">
        <f>SUM(H408:H409)</f>
        <v>2531.7800000098341</v>
      </c>
      <c r="I410" s="299" t="str">
        <f>CONCATENATE("(",ROUND((H410/$H410)*100,1),")")</f>
        <v>(100)</v>
      </c>
      <c r="K410" s="302">
        <f t="shared" si="306"/>
        <v>17.826999859168382</v>
      </c>
      <c r="L410" s="302">
        <f t="shared" si="307"/>
        <v>-9.9140000407990101</v>
      </c>
      <c r="M410" s="302">
        <f t="shared" si="308"/>
        <v>3.6310000066859516</v>
      </c>
      <c r="N410" s="302">
        <f t="shared" si="309"/>
        <v>11.543999825055323</v>
      </c>
    </row>
    <row r="411" spans="1:14" x14ac:dyDescent="0.3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3">
      <c r="A413" s="282" t="s">
        <v>355</v>
      </c>
      <c r="B413" s="302">
        <f>'Ind T6'!Q485</f>
        <v>460.48099998972884</v>
      </c>
      <c r="C413" s="299" t="str">
        <f>CONCATENATE("(",ROUND((B413/$H415)*100,1),")")</f>
        <v>(18.1)</v>
      </c>
      <c r="D413" s="302">
        <f>'Ind T6'!R485</f>
        <v>184.99199999938304</v>
      </c>
      <c r="E413" s="299" t="str">
        <f>CONCATENATE("(",ROUND((D413/$H415)*100,1),")")</f>
        <v>(7.3)</v>
      </c>
      <c r="F413" s="302">
        <f>'Ind T6'!S485</f>
        <v>109.1140000085876</v>
      </c>
      <c r="G413" s="299" t="str">
        <f>CONCATENATE("(",ROUND((F413/$H415)*100,1),")")</f>
        <v>(4.3)</v>
      </c>
      <c r="H413" s="302">
        <f>SUM(B413,D413,F413)</f>
        <v>754.58699999769954</v>
      </c>
      <c r="I413" s="299" t="str">
        <f>CONCATENATE("(",ROUND((H413/$H415)*100,1),")")</f>
        <v>(29.7)</v>
      </c>
      <c r="K413" s="302">
        <f>B418-B413</f>
        <v>5.7850000076521155</v>
      </c>
      <c r="L413" s="302">
        <f>D418-D413</f>
        <v>11.062999998473771</v>
      </c>
      <c r="M413" s="302">
        <f>F418-F413</f>
        <v>7.239999998306601</v>
      </c>
      <c r="N413" s="302">
        <f>SUM(K413:M413)</f>
        <v>24.088000004432487</v>
      </c>
    </row>
    <row r="414" spans="1:14" x14ac:dyDescent="0.3">
      <c r="A414" s="282" t="s">
        <v>356</v>
      </c>
      <c r="B414" s="302">
        <f>'Ind T6'!Q484</f>
        <v>745.85299991327918</v>
      </c>
      <c r="C414" s="299" t="str">
        <f>CONCATENATE("(",ROUND((B414/$H415)*100,1),")")</f>
        <v>(29.3)</v>
      </c>
      <c r="D414" s="302">
        <f>'Ind T6'!R484</f>
        <v>864.18299992415587</v>
      </c>
      <c r="E414" s="299" t="str">
        <f>CONCATENATE("(",ROUND((D414/$H415)*100,1),")")</f>
        <v>(34)</v>
      </c>
      <c r="F414" s="302">
        <f>'Ind T6'!S484</f>
        <v>178.70099999975463</v>
      </c>
      <c r="G414" s="299" t="str">
        <f>CONCATENATE("(",ROUND((F414/$H415)*100,1),")")</f>
        <v>(7)</v>
      </c>
      <c r="H414" s="302">
        <f t="shared" ref="H414" si="310">SUM(B414,D414,F414)</f>
        <v>1788.7369998371898</v>
      </c>
      <c r="I414" s="299" t="str">
        <f>CONCATENATE("(",ROUND((H414/$H415)*100,1),")")</f>
        <v>(70.3)</v>
      </c>
      <c r="K414" s="302">
        <f t="shared" ref="K414:K415" si="311">B419-B414</f>
        <v>64.697000107880854</v>
      </c>
      <c r="L414" s="302">
        <f t="shared" ref="L414:L415" si="312">D419-D414</f>
        <v>-5.2939999155493069</v>
      </c>
      <c r="M414" s="302">
        <f t="shared" ref="M414:M415" si="313">F419-F414</f>
        <v>6.4180000017924783</v>
      </c>
      <c r="N414" s="302">
        <f t="shared" ref="N414:N415" si="314">SUM(K414:M414)</f>
        <v>65.821000194124025</v>
      </c>
    </row>
    <row r="415" spans="1:14" x14ac:dyDescent="0.3">
      <c r="A415" s="282" t="s">
        <v>354</v>
      </c>
      <c r="B415" s="302">
        <f>SUM(B413:B414)</f>
        <v>1206.3339999030081</v>
      </c>
      <c r="C415" s="299" t="str">
        <f>CONCATENATE("(",ROUND((B415/$H415)*100,1),")")</f>
        <v>(47.4)</v>
      </c>
      <c r="D415" s="302">
        <f>SUM(D413:D414)</f>
        <v>1049.174999923539</v>
      </c>
      <c r="E415" s="299" t="str">
        <f>CONCATENATE("(",ROUND((D415/$H415)*100,1),")")</f>
        <v>(41.3)</v>
      </c>
      <c r="F415" s="302">
        <f>SUM(F413:F414)</f>
        <v>287.81500000834222</v>
      </c>
      <c r="G415" s="299" t="str">
        <f>CONCATENATE("(",ROUND((F415/$H415)*100,1),")")</f>
        <v>(11.3)</v>
      </c>
      <c r="H415" s="302">
        <f>SUM(H413:H414)</f>
        <v>2543.3239998348895</v>
      </c>
      <c r="I415" s="299" t="str">
        <f>CONCATENATE("(",ROUND((H415/$H415)*100,1),")")</f>
        <v>(100)</v>
      </c>
      <c r="K415" s="302">
        <f t="shared" si="311"/>
        <v>70.482000115532855</v>
      </c>
      <c r="L415" s="302">
        <f t="shared" si="312"/>
        <v>5.7690000829243218</v>
      </c>
      <c r="M415" s="302">
        <f t="shared" si="313"/>
        <v>13.658000000099094</v>
      </c>
      <c r="N415" s="302">
        <f t="shared" si="314"/>
        <v>89.909000198556271</v>
      </c>
    </row>
    <row r="416" spans="1:14" x14ac:dyDescent="0.3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3">
      <c r="A418" s="282" t="s">
        <v>355</v>
      </c>
      <c r="B418" s="302">
        <f>'Ind T6'!V485</f>
        <v>466.26599999738096</v>
      </c>
      <c r="C418" s="299" t="str">
        <f>CONCATENATE("(",ROUND((B418/$H420)*100,1),")")</f>
        <v>(17.7)</v>
      </c>
      <c r="D418" s="302">
        <f>'Ind T6'!W485</f>
        <v>196.05499999785681</v>
      </c>
      <c r="E418" s="299" t="str">
        <f>CONCATENATE("(",ROUND((D418/$H420)*100,1),")")</f>
        <v>(7.4)</v>
      </c>
      <c r="F418" s="302">
        <f>'Ind T6'!X485</f>
        <v>116.3540000068942</v>
      </c>
      <c r="G418" s="299" t="str">
        <f>CONCATENATE("(",ROUND((F418/$H420)*100,1),")")</f>
        <v>(4.4)</v>
      </c>
      <c r="H418" s="302">
        <f>SUM(B418,D418,F418)</f>
        <v>778.67500000213204</v>
      </c>
      <c r="I418" s="299" t="str">
        <f>CONCATENATE("(",ROUND((H418/$H420)*100,1),")")</f>
        <v>(29.6)</v>
      </c>
      <c r="K418" s="302">
        <f>B418-B408</f>
        <v>2.5959999814846242</v>
      </c>
      <c r="L418" s="302">
        <f>D418-D408</f>
        <v>14.217999992664375</v>
      </c>
      <c r="M418" s="302">
        <f>F418-F408</f>
        <v>9.2960000039964399</v>
      </c>
      <c r="N418" s="302">
        <f>SUM(K418:M418)</f>
        <v>26.109999978145439</v>
      </c>
    </row>
    <row r="419" spans="1:14" x14ac:dyDescent="0.3">
      <c r="A419" s="282" t="s">
        <v>356</v>
      </c>
      <c r="B419" s="302">
        <f>'Ind T6'!V484</f>
        <v>810.55000002116003</v>
      </c>
      <c r="C419" s="299" t="str">
        <f>CONCATENATE("(",ROUND((B419/$H420)*100,1),")")</f>
        <v>(30.8)</v>
      </c>
      <c r="D419" s="302">
        <f>'Ind T6'!W484</f>
        <v>858.88900000860656</v>
      </c>
      <c r="E419" s="299" t="str">
        <f>CONCATENATE("(",ROUND((D419/$H420)*100,1),")")</f>
        <v>(32.6)</v>
      </c>
      <c r="F419" s="302">
        <f>'Ind T6'!X484</f>
        <v>185.11900000154711</v>
      </c>
      <c r="G419" s="299" t="str">
        <f>CONCATENATE("(",ROUND((F419/$H420)*100,1),")")</f>
        <v>(7)</v>
      </c>
      <c r="H419" s="302">
        <f t="shared" ref="H419" si="315">SUM(B419,D419,F419)</f>
        <v>1854.5580000313139</v>
      </c>
      <c r="I419" s="299" t="str">
        <f>CONCATENATE("(",ROUND((H419/$H420)*100,1),")")</f>
        <v>(70.4)</v>
      </c>
      <c r="K419" s="302">
        <f t="shared" ref="K419:K420" si="316">B419-B409</f>
        <v>85.712999993216613</v>
      </c>
      <c r="L419" s="302">
        <f t="shared" ref="L419:L420" si="317">D419-D409</f>
        <v>-18.362999950539006</v>
      </c>
      <c r="M419" s="302">
        <f t="shared" ref="M419:M420" si="318">F419-F409</f>
        <v>7.993000002788591</v>
      </c>
      <c r="N419" s="302">
        <f t="shared" ref="N419:N420" si="319">SUM(K419:M419)</f>
        <v>75.343000045466198</v>
      </c>
    </row>
    <row r="420" spans="1:14" x14ac:dyDescent="0.3">
      <c r="A420" s="282" t="s">
        <v>354</v>
      </c>
      <c r="B420" s="302">
        <f>SUM(B418:B419)</f>
        <v>1276.816000018541</v>
      </c>
      <c r="C420" s="299" t="str">
        <f>CONCATENATE("(",ROUND((B420/$H420)*100,1),")")</f>
        <v>(48.5)</v>
      </c>
      <c r="D420" s="302">
        <f>SUM(D418:D419)</f>
        <v>1054.9440000064633</v>
      </c>
      <c r="E420" s="299" t="str">
        <f>CONCATENATE("(",ROUND((D420/$H420)*100,1),")")</f>
        <v>(40.1)</v>
      </c>
      <c r="F420" s="302">
        <f>SUM(F418:F419)</f>
        <v>301.47300000844132</v>
      </c>
      <c r="G420" s="299" t="str">
        <f>CONCATENATE("(",ROUND((F420/$H420)*100,1),")")</f>
        <v>(11.4)</v>
      </c>
      <c r="H420" s="302">
        <f>SUM(H418:H419)</f>
        <v>2633.2330000334459</v>
      </c>
      <c r="I420" s="299" t="str">
        <f>CONCATENATE("(",ROUND((H420/$H420)*100,1),")")</f>
        <v>(100)</v>
      </c>
      <c r="K420" s="302">
        <f t="shared" si="316"/>
        <v>88.308999974701237</v>
      </c>
      <c r="L420" s="302">
        <f t="shared" si="317"/>
        <v>-4.1449999578746883</v>
      </c>
      <c r="M420" s="302">
        <f t="shared" si="318"/>
        <v>17.289000006785045</v>
      </c>
      <c r="N420" s="302">
        <f t="shared" si="319"/>
        <v>101.45300002361159</v>
      </c>
    </row>
    <row r="421" spans="1:14" x14ac:dyDescent="0.3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3">
      <c r="C424" s="181"/>
      <c r="E424" s="181"/>
      <c r="G424" s="181"/>
      <c r="I424" s="181"/>
    </row>
    <row r="425" spans="1:14" x14ac:dyDescent="0.3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3">
      <c r="N426" s="287" t="s">
        <v>377</v>
      </c>
    </row>
    <row r="427" spans="1:14" x14ac:dyDescent="0.3">
      <c r="A427" s="181" t="s">
        <v>378</v>
      </c>
      <c r="B427" s="370" t="s">
        <v>376</v>
      </c>
      <c r="C427" s="370"/>
      <c r="D427" s="370" t="s">
        <v>375</v>
      </c>
      <c r="E427" s="370"/>
      <c r="F427" s="370" t="s">
        <v>374</v>
      </c>
      <c r="G427" s="370"/>
      <c r="H427" s="370" t="s">
        <v>32</v>
      </c>
      <c r="I427" s="370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3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3">
      <c r="A429" s="282" t="s">
        <v>355</v>
      </c>
      <c r="B429" s="302">
        <f>'Ind T6'!L510</f>
        <v>527.546999997699</v>
      </c>
      <c r="C429" s="299" t="str">
        <f>CONCATENATE("(",ROUND((B429/$H431)*100,1),")")</f>
        <v>(14.5)</v>
      </c>
      <c r="D429" s="302">
        <f>'Ind T6'!M510</f>
        <v>179.72800000038097</v>
      </c>
      <c r="E429" s="299" t="str">
        <f>CONCATENATE("(",ROUND((D429/$H431)*100,1),")")</f>
        <v>(4.9)</v>
      </c>
      <c r="F429" s="302">
        <f>'Ind T6'!N510</f>
        <v>89.560000003447158</v>
      </c>
      <c r="G429" s="299" t="str">
        <f>CONCATENATE("(",ROUND((F429/$H431)*100,1),")")</f>
        <v>(2.5)</v>
      </c>
      <c r="H429" s="302">
        <f>SUM(B429,D429,F429)</f>
        <v>796.83500000152708</v>
      </c>
      <c r="I429" s="299" t="str">
        <f>CONCATENATE("(",ROUND((H429/$H431)*100,1),")")</f>
        <v>(21.8)</v>
      </c>
      <c r="K429" s="302">
        <f>B434-B429</f>
        <v>33.378000001082683</v>
      </c>
      <c r="L429" s="302">
        <f>D434-D429</f>
        <v>14.686999999685952</v>
      </c>
      <c r="M429" s="302">
        <f>F434-F429</f>
        <v>1.5710000057982398</v>
      </c>
      <c r="N429" s="302">
        <f>SUM(K429:M429)</f>
        <v>49.636000006566874</v>
      </c>
    </row>
    <row r="430" spans="1:14" x14ac:dyDescent="0.3">
      <c r="A430" s="282" t="s">
        <v>356</v>
      </c>
      <c r="B430" s="302">
        <f>'Ind T6'!L509</f>
        <v>1412.0649999971622</v>
      </c>
      <c r="C430" s="299" t="str">
        <f>CONCATENATE("(",ROUND((B430/$H431)*100,1),")")</f>
        <v>(38.7)</v>
      </c>
      <c r="D430" s="302">
        <f>'Ind T6'!M509</f>
        <v>1240.0099999797103</v>
      </c>
      <c r="E430" s="299" t="str">
        <f>CONCATENATE("(",ROUND((D430/$H431)*100,1),")")</f>
        <v>(34)</v>
      </c>
      <c r="F430" s="302">
        <f>'Ind T6'!N509</f>
        <v>199.13200001478697</v>
      </c>
      <c r="G430" s="299" t="str">
        <f>CONCATENATE("(",ROUND((F430/$H431)*100,1),")")</f>
        <v>(5.5)</v>
      </c>
      <c r="H430" s="302">
        <f t="shared" ref="H430" si="320">SUM(B430,D430,F430)</f>
        <v>2851.2069999916594</v>
      </c>
      <c r="I430" s="299" t="str">
        <f>CONCATENATE("(",ROUND((H430/$H431)*100,1),")")</f>
        <v>(78.2)</v>
      </c>
      <c r="K430" s="302">
        <f t="shared" ref="K430:K431" si="321">B435-B430</f>
        <v>124.28499999754217</v>
      </c>
      <c r="L430" s="302">
        <f t="shared" ref="L430:L431" si="322">D435-D430</f>
        <v>37.45899998199684</v>
      </c>
      <c r="M430" s="302">
        <f t="shared" ref="M430:M431" si="323">F435-F430</f>
        <v>23.79199998558471</v>
      </c>
      <c r="N430" s="302">
        <f t="shared" ref="N430:N431" si="324">SUM(K430:M430)</f>
        <v>185.53599996512372</v>
      </c>
    </row>
    <row r="431" spans="1:14" x14ac:dyDescent="0.3">
      <c r="A431" s="282" t="s">
        <v>354</v>
      </c>
      <c r="B431" s="302">
        <f>SUM(B429:B430)</f>
        <v>1939.6119999948612</v>
      </c>
      <c r="C431" s="299" t="str">
        <f>CONCATENATE("(",ROUND((B431/$H431)*100,1),")")</f>
        <v>(53.2)</v>
      </c>
      <c r="D431" s="302">
        <f>SUM(D429:D430)</f>
        <v>1419.7379999800912</v>
      </c>
      <c r="E431" s="299" t="str">
        <f>CONCATENATE("(",ROUND((D431/$H431)*100,1),")")</f>
        <v>(38.9)</v>
      </c>
      <c r="F431" s="302">
        <f>SUM(F429:F430)</f>
        <v>288.69200001823413</v>
      </c>
      <c r="G431" s="299" t="str">
        <f>CONCATENATE("(",ROUND((F431/$H431)*100,1),")")</f>
        <v>(7.9)</v>
      </c>
      <c r="H431" s="302">
        <f>SUM(H429:H430)</f>
        <v>3648.0419999931864</v>
      </c>
      <c r="I431" s="299" t="str">
        <f>CONCATENATE("(",ROUND((H431/$H431)*100,1),")")</f>
        <v>(100)</v>
      </c>
      <c r="K431" s="302">
        <f t="shared" si="321"/>
        <v>157.66299999862463</v>
      </c>
      <c r="L431" s="302">
        <f t="shared" si="322"/>
        <v>52.145999981682735</v>
      </c>
      <c r="M431" s="302">
        <f t="shared" si="323"/>
        <v>25.362999991382935</v>
      </c>
      <c r="N431" s="302">
        <f t="shared" si="324"/>
        <v>235.1719999716903</v>
      </c>
    </row>
    <row r="432" spans="1:14" x14ac:dyDescent="0.3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3">
      <c r="A434" s="282" t="s">
        <v>355</v>
      </c>
      <c r="B434" s="302">
        <f>'Ind T6'!Q510</f>
        <v>560.92499999878169</v>
      </c>
      <c r="C434" s="299" t="str">
        <f>CONCATENATE("(",ROUND((B434/$H436)*100,1),")")</f>
        <v>(14.4)</v>
      </c>
      <c r="D434" s="302">
        <f>'Ind T6'!R510</f>
        <v>194.41500000006693</v>
      </c>
      <c r="E434" s="299" t="str">
        <f>CONCATENATE("(",ROUND((D434/$H436)*100,1),")")</f>
        <v>(5)</v>
      </c>
      <c r="F434" s="302">
        <f>'Ind T6'!S510</f>
        <v>91.131000009245398</v>
      </c>
      <c r="G434" s="299" t="str">
        <f>CONCATENATE("(",ROUND((F434/$H436)*100,1),")")</f>
        <v>(2.3)</v>
      </c>
      <c r="H434" s="302">
        <f>SUM(B434,D434,F434)</f>
        <v>846.47100000809405</v>
      </c>
      <c r="I434" s="299" t="str">
        <f>CONCATENATE("(",ROUND((H434/$H436)*100,1),")")</f>
        <v>(21.8)</v>
      </c>
      <c r="K434" s="302">
        <f>B439-B434</f>
        <v>37.881000000083986</v>
      </c>
      <c r="L434" s="302">
        <f>D439-D434</f>
        <v>19.198000000108152</v>
      </c>
      <c r="M434" s="302">
        <f>F439-F434</f>
        <v>-2.9580000032214571</v>
      </c>
      <c r="N434" s="302">
        <f>SUM(K434:M434)</f>
        <v>54.120999996970681</v>
      </c>
    </row>
    <row r="435" spans="1:14" x14ac:dyDescent="0.3">
      <c r="A435" s="282" t="s">
        <v>356</v>
      </c>
      <c r="B435" s="302">
        <f>'Ind T6'!Q509</f>
        <v>1536.3499999947044</v>
      </c>
      <c r="C435" s="299" t="str">
        <f>CONCATENATE("(",ROUND((B435/$H436)*100,1),")")</f>
        <v>(39.6)</v>
      </c>
      <c r="D435" s="302">
        <f>'Ind T6'!R509</f>
        <v>1277.4689999617071</v>
      </c>
      <c r="E435" s="299" t="str">
        <f>CONCATENATE("(",ROUND((D435/$H436)*100,1),")")</f>
        <v>(32.9)</v>
      </c>
      <c r="F435" s="302">
        <f>'Ind T6'!S509</f>
        <v>222.92400000037168</v>
      </c>
      <c r="G435" s="299" t="str">
        <f>CONCATENATE("(",ROUND((F435/$H436)*100,1),")")</f>
        <v>(5.7)</v>
      </c>
      <c r="H435" s="302">
        <f t="shared" ref="H435" si="325">SUM(B435,D435,F435)</f>
        <v>3036.742999956783</v>
      </c>
      <c r="I435" s="299" t="str">
        <f>CONCATENATE("(",ROUND((H435/$H436)*100,1),")")</f>
        <v>(78.2)</v>
      </c>
      <c r="K435" s="302">
        <f t="shared" ref="K435:K436" si="326">B440-B435</f>
        <v>176.01900000302521</v>
      </c>
      <c r="L435" s="302">
        <f t="shared" ref="L435:L436" si="327">D440-D435</f>
        <v>-6.9359999674402388</v>
      </c>
      <c r="M435" s="302">
        <f t="shared" ref="M435:M436" si="328">F440-F435</f>
        <v>33.615999999456221</v>
      </c>
      <c r="N435" s="302">
        <f t="shared" ref="N435:N436" si="329">SUM(K435:M435)</f>
        <v>202.69900003504119</v>
      </c>
    </row>
    <row r="436" spans="1:14" x14ac:dyDescent="0.3">
      <c r="A436" s="282" t="s">
        <v>354</v>
      </c>
      <c r="B436" s="302">
        <f>SUM(B434:B435)</f>
        <v>2097.2749999934858</v>
      </c>
      <c r="C436" s="299" t="str">
        <f>CONCATENATE("(",ROUND((B436/$H436)*100,1),")")</f>
        <v>(54)</v>
      </c>
      <c r="D436" s="302">
        <f>SUM(D434:D435)</f>
        <v>1471.883999961774</v>
      </c>
      <c r="E436" s="299" t="str">
        <f>CONCATENATE("(",ROUND((D436/$H436)*100,1),")")</f>
        <v>(37.9)</v>
      </c>
      <c r="F436" s="302">
        <f>SUM(F434:F435)</f>
        <v>314.05500000961706</v>
      </c>
      <c r="G436" s="299" t="str">
        <f>CONCATENATE("(",ROUND((F436/$H436)*100,1),")")</f>
        <v>(8.1)</v>
      </c>
      <c r="H436" s="302">
        <f>SUM(H434:H435)</f>
        <v>3883.2139999648771</v>
      </c>
      <c r="I436" s="299" t="str">
        <f>CONCATENATE("(",ROUND((H436/$H436)*100,1),")")</f>
        <v>(100)</v>
      </c>
      <c r="K436" s="302">
        <f t="shared" si="326"/>
        <v>213.9000000031092</v>
      </c>
      <c r="L436" s="302">
        <f t="shared" si="327"/>
        <v>12.262000032668084</v>
      </c>
      <c r="M436" s="302">
        <f t="shared" si="328"/>
        <v>30.657999996234764</v>
      </c>
      <c r="N436" s="302">
        <f t="shared" si="329"/>
        <v>256.82000003201205</v>
      </c>
    </row>
    <row r="437" spans="1:14" x14ac:dyDescent="0.3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3">
      <c r="A439" s="282" t="s">
        <v>355</v>
      </c>
      <c r="B439" s="302">
        <f>'Ind T6'!V510</f>
        <v>598.80599999886567</v>
      </c>
      <c r="C439" s="299" t="str">
        <f>CONCATENATE("(",ROUND((B439/$H441)*100,1),")")</f>
        <v>(14.5)</v>
      </c>
      <c r="D439" s="302">
        <f>'Ind T6'!W510</f>
        <v>213.61300000017508</v>
      </c>
      <c r="E439" s="299" t="str">
        <f>CONCATENATE("(",ROUND((D439/$H441)*100,1),")")</f>
        <v>(5.2)</v>
      </c>
      <c r="F439" s="302">
        <f>'Ind T6'!X510</f>
        <v>88.173000006023941</v>
      </c>
      <c r="G439" s="299" t="str">
        <f>CONCATENATE("(",ROUND((F439/$H441)*100,1),")")</f>
        <v>(2.1)</v>
      </c>
      <c r="H439" s="302">
        <f>SUM(B439,D439,F439)</f>
        <v>900.59200000506473</v>
      </c>
      <c r="I439" s="299" t="str">
        <f>CONCATENATE("(",ROUND((H439/$H441)*100,1),")")</f>
        <v>(21.8)</v>
      </c>
      <c r="K439" s="302">
        <f>B439-B429</f>
        <v>71.259000001166669</v>
      </c>
      <c r="L439" s="302">
        <f>D439-D429</f>
        <v>33.884999999794104</v>
      </c>
      <c r="M439" s="302">
        <f>F439-F429</f>
        <v>-1.3869999974232172</v>
      </c>
      <c r="N439" s="302">
        <f>SUM(K439:M439)</f>
        <v>103.75700000353756</v>
      </c>
    </row>
    <row r="440" spans="1:14" x14ac:dyDescent="0.3">
      <c r="A440" s="282" t="s">
        <v>356</v>
      </c>
      <c r="B440" s="302">
        <f>'Ind T6'!V509</f>
        <v>1712.3689999977296</v>
      </c>
      <c r="C440" s="299" t="str">
        <f>CONCATENATE("(",ROUND((B440/$H441)*100,1),")")</f>
        <v>(41.4)</v>
      </c>
      <c r="D440" s="302">
        <f>'Ind T6'!W509</f>
        <v>1270.5329999942669</v>
      </c>
      <c r="E440" s="299" t="str">
        <f>CONCATENATE("(",ROUND((D440/$H441)*100,1),")")</f>
        <v>(30.7)</v>
      </c>
      <c r="F440" s="302">
        <f>'Ind T6'!X509</f>
        <v>256.5399999998279</v>
      </c>
      <c r="G440" s="299" t="str">
        <f>CONCATENATE("(",ROUND((F440/$H441)*100,1),")")</f>
        <v>(6.2)</v>
      </c>
      <c r="H440" s="302">
        <f t="shared" ref="H440" si="330">SUM(B440,D440,F440)</f>
        <v>3239.4419999918246</v>
      </c>
      <c r="I440" s="299" t="str">
        <f>CONCATENATE("(",ROUND((H440/$H441)*100,1),")")</f>
        <v>(78.2)</v>
      </c>
      <c r="K440" s="302">
        <f t="shared" ref="K440:K441" si="331">B440-B430</f>
        <v>300.30400000056738</v>
      </c>
      <c r="L440" s="302">
        <f t="shared" ref="L440:L441" si="332">D440-D430</f>
        <v>30.523000014556601</v>
      </c>
      <c r="M440" s="302">
        <f t="shared" ref="M440:M441" si="333">F440-F430</f>
        <v>57.407999985040931</v>
      </c>
      <c r="N440" s="302">
        <f t="shared" ref="N440:N441" si="334">SUM(K440:M440)</f>
        <v>388.23500000016492</v>
      </c>
    </row>
    <row r="441" spans="1:14" x14ac:dyDescent="0.3">
      <c r="A441" s="282" t="s">
        <v>354</v>
      </c>
      <c r="B441" s="302">
        <f>SUM(B439:B440)</f>
        <v>2311.174999996595</v>
      </c>
      <c r="C441" s="299" t="str">
        <f>CONCATENATE("(",ROUND((B441/$H441)*100,1),")")</f>
        <v>(55.8)</v>
      </c>
      <c r="D441" s="302">
        <f>SUM(D439:D440)</f>
        <v>1484.145999994442</v>
      </c>
      <c r="E441" s="299" t="str">
        <f>CONCATENATE("(",ROUND((D441/$H441)*100,1),")")</f>
        <v>(35.8)</v>
      </c>
      <c r="F441" s="302">
        <f>SUM(F439:F440)</f>
        <v>344.71300000585182</v>
      </c>
      <c r="G441" s="299" t="str">
        <f>CONCATENATE("(",ROUND((F441/$H441)*100,1),")")</f>
        <v>(8.3)</v>
      </c>
      <c r="H441" s="302">
        <f>SUM(H439:H440)</f>
        <v>4140.0339999968892</v>
      </c>
      <c r="I441" s="299" t="str">
        <f>CONCATENATE("(",ROUND((H441/$H441)*100,1),")")</f>
        <v>(100)</v>
      </c>
      <c r="K441" s="302">
        <f t="shared" si="331"/>
        <v>371.56300000173383</v>
      </c>
      <c r="L441" s="302">
        <f t="shared" si="332"/>
        <v>64.408000014350819</v>
      </c>
      <c r="M441" s="302">
        <f t="shared" si="333"/>
        <v>56.020999987617699</v>
      </c>
      <c r="N441" s="302">
        <f t="shared" si="334"/>
        <v>491.99200000370234</v>
      </c>
    </row>
    <row r="442" spans="1:14" x14ac:dyDescent="0.3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3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3">
      <c r="N447" s="287" t="s">
        <v>377</v>
      </c>
    </row>
    <row r="448" spans="1:14" x14ac:dyDescent="0.3">
      <c r="A448" s="181" t="s">
        <v>378</v>
      </c>
      <c r="B448" s="370" t="s">
        <v>376</v>
      </c>
      <c r="C448" s="370"/>
      <c r="D448" s="370" t="s">
        <v>375</v>
      </c>
      <c r="E448" s="370"/>
      <c r="F448" s="370" t="s">
        <v>374</v>
      </c>
      <c r="G448" s="370"/>
      <c r="H448" s="370" t="s">
        <v>32</v>
      </c>
      <c r="I448" s="370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3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3">
      <c r="A450" s="282" t="s">
        <v>355</v>
      </c>
      <c r="B450" s="302">
        <f>'Ind T6'!L540</f>
        <v>160.68999999993338</v>
      </c>
      <c r="C450" s="299" t="str">
        <f>CONCATENATE("(",ROUND((B450/$H452)*100,1),")")</f>
        <v>(18.6)</v>
      </c>
      <c r="D450" s="302">
        <f>'Ind T6'!M540</f>
        <v>131.38600000024465</v>
      </c>
      <c r="E450" s="299" t="str">
        <f>CONCATENATE("(",ROUND((D450/$H452)*100,1),")")</f>
        <v>(15.2)</v>
      </c>
      <c r="F450" s="302">
        <f>'Ind T6'!N540</f>
        <v>121.96400000405383</v>
      </c>
      <c r="G450" s="299" t="str">
        <f>CONCATENATE("(",ROUND((F450/$H452)*100,1),")")</f>
        <v>(14.1)</v>
      </c>
      <c r="H450" s="302">
        <f>SUM(B450,D450,F450)</f>
        <v>414.0400000042319</v>
      </c>
      <c r="I450" s="299" t="str">
        <f>CONCATENATE("(",ROUND((H450/$H452)*100,1),")")</f>
        <v>(47.9)</v>
      </c>
      <c r="K450" s="302">
        <f>B455-B450</f>
        <v>7.3430000002667271</v>
      </c>
      <c r="L450" s="302">
        <f>D455-D450</f>
        <v>7.9529999999091672</v>
      </c>
      <c r="M450" s="302">
        <f>F455-F450</f>
        <v>-0.89999999425826616</v>
      </c>
      <c r="N450" s="302">
        <f>SUM(K450:M450)</f>
        <v>14.396000005917628</v>
      </c>
    </row>
    <row r="451" spans="1:14" x14ac:dyDescent="0.3">
      <c r="A451" s="282" t="s">
        <v>356</v>
      </c>
      <c r="B451" s="302">
        <f>'Ind T6'!L539</f>
        <v>125.30999999944622</v>
      </c>
      <c r="C451" s="299" t="str">
        <f>CONCATENATE("(",ROUND((B451/$H452)*100,1),")")</f>
        <v>(14.5)</v>
      </c>
      <c r="D451" s="302">
        <f>'Ind T6'!M539</f>
        <v>191.72900000095183</v>
      </c>
      <c r="E451" s="299" t="str">
        <f>CONCATENATE("(",ROUND((D451/$H452)*100,1),")")</f>
        <v>(22.2)</v>
      </c>
      <c r="F451" s="302">
        <f>'Ind T6'!N539</f>
        <v>133.65899999721279</v>
      </c>
      <c r="G451" s="299" t="str">
        <f>CONCATENATE("(",ROUND((F451/$H452)*100,1),")")</f>
        <v>(15.5)</v>
      </c>
      <c r="H451" s="302">
        <f t="shared" ref="H451" si="335">SUM(B451,D451,F451)</f>
        <v>450.69799999761085</v>
      </c>
      <c r="I451" s="299" t="str">
        <f>CONCATENATE("(",ROUND((H451/$H452)*100,1),")")</f>
        <v>(52.1)</v>
      </c>
      <c r="K451" s="302">
        <f t="shared" ref="K451:K452" si="336">B456-B451</f>
        <v>-0.53899999790642994</v>
      </c>
      <c r="L451" s="302">
        <f t="shared" ref="L451:L452" si="337">D456-D451</f>
        <v>7.5480000009020216</v>
      </c>
      <c r="M451" s="302">
        <f t="shared" ref="M451:M452" si="338">F456-F451</f>
        <v>-0.53399999756155125</v>
      </c>
      <c r="N451" s="302">
        <f t="shared" ref="N451:N452" si="339">SUM(K451:M451)</f>
        <v>6.4750000054340404</v>
      </c>
    </row>
    <row r="452" spans="1:14" x14ac:dyDescent="0.3">
      <c r="A452" s="282" t="s">
        <v>354</v>
      </c>
      <c r="B452" s="302">
        <f>SUM(B450:B451)</f>
        <v>285.99999999937961</v>
      </c>
      <c r="C452" s="299" t="str">
        <f>CONCATENATE("(",ROUND((B452/$H452)*100,1),")")</f>
        <v>(33.1)</v>
      </c>
      <c r="D452" s="302">
        <f>SUM(D450:D451)</f>
        <v>323.11500000119645</v>
      </c>
      <c r="E452" s="299" t="str">
        <f>CONCATENATE("(",ROUND((D452/$H452)*100,1),")")</f>
        <v>(37.4)</v>
      </c>
      <c r="F452" s="302">
        <f>SUM(F450:F451)</f>
        <v>255.62300000126663</v>
      </c>
      <c r="G452" s="299" t="str">
        <f>CONCATENATE("(",ROUND((F452/$H452)*100,1),")")</f>
        <v>(29.6)</v>
      </c>
      <c r="H452" s="302">
        <f>SUM(H450:H451)</f>
        <v>864.73800000184269</v>
      </c>
      <c r="I452" s="299" t="str">
        <f>CONCATENATE("(",ROUND((H452/$H452)*100,1),")")</f>
        <v>(100)</v>
      </c>
      <c r="K452" s="302">
        <f t="shared" si="336"/>
        <v>6.8040000023602829</v>
      </c>
      <c r="L452" s="302">
        <f t="shared" si="337"/>
        <v>15.501000000811246</v>
      </c>
      <c r="M452" s="302">
        <f t="shared" si="338"/>
        <v>-1.4339999918198316</v>
      </c>
      <c r="N452" s="302">
        <f t="shared" si="339"/>
        <v>20.871000011351697</v>
      </c>
    </row>
    <row r="453" spans="1:14" x14ac:dyDescent="0.3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3">
      <c r="A455" s="282" t="s">
        <v>355</v>
      </c>
      <c r="B455" s="302">
        <f>'Ind T6'!Q540</f>
        <v>168.0330000002001</v>
      </c>
      <c r="C455" s="299" t="str">
        <f>CONCATENATE("(",ROUND((B455/$H457)*100,1),")")</f>
        <v>(19)</v>
      </c>
      <c r="D455" s="302">
        <f>'Ind T6'!R540</f>
        <v>139.33900000015382</v>
      </c>
      <c r="E455" s="299" t="str">
        <f>CONCATENATE("(",ROUND((D455/$H457)*100,1),")")</f>
        <v>(15.7)</v>
      </c>
      <c r="F455" s="302">
        <f>'Ind T6'!S540</f>
        <v>121.06400000979556</v>
      </c>
      <c r="G455" s="299" t="str">
        <f>CONCATENATE("(",ROUND((F455/$H457)*100,1),")")</f>
        <v>(13.7)</v>
      </c>
      <c r="H455" s="302">
        <f>SUM(B455,D455,F455)</f>
        <v>428.43600001014948</v>
      </c>
      <c r="I455" s="299" t="str">
        <f>CONCATENATE("(",ROUND((H455/$H457)*100,1),")")</f>
        <v>(48.4)</v>
      </c>
      <c r="K455" s="302">
        <f>B460-B455</f>
        <v>14.145999999790263</v>
      </c>
      <c r="L455" s="302">
        <f>D460-D455</f>
        <v>16.1220000002794</v>
      </c>
      <c r="M455" s="302">
        <f>F460-F455</f>
        <v>10.935999998171241</v>
      </c>
      <c r="N455" s="302">
        <f>SUM(K455:M455)</f>
        <v>41.203999998240903</v>
      </c>
    </row>
    <row r="456" spans="1:14" x14ac:dyDescent="0.3">
      <c r="A456" s="282" t="s">
        <v>356</v>
      </c>
      <c r="B456" s="302">
        <f>'Ind T6'!Q539</f>
        <v>124.77100000153979</v>
      </c>
      <c r="C456" s="299" t="str">
        <f>CONCATENATE("(",ROUND((B456/$H457)*100,1),")")</f>
        <v>(14.1)</v>
      </c>
      <c r="D456" s="302">
        <f>'Ind T6'!R539</f>
        <v>199.27700000185385</v>
      </c>
      <c r="E456" s="299" t="str">
        <f>CONCATENATE("(",ROUND((D456/$H457)*100,1),")")</f>
        <v>(22.5)</v>
      </c>
      <c r="F456" s="302">
        <f>'Ind T6'!S539</f>
        <v>133.12499999965124</v>
      </c>
      <c r="G456" s="299" t="str">
        <f>CONCATENATE("(",ROUND((F456/$H457)*100,1),")")</f>
        <v>(15)</v>
      </c>
      <c r="H456" s="302">
        <f t="shared" ref="H456" si="340">SUM(B456,D456,F456)</f>
        <v>457.17300000304488</v>
      </c>
      <c r="I456" s="299" t="str">
        <f>CONCATENATE("(",ROUND((H456/$H457)*100,1),")")</f>
        <v>(51.6)</v>
      </c>
      <c r="K456" s="302">
        <f t="shared" ref="K456:K457" si="341">B461-B456</f>
        <v>1.1519999989274226</v>
      </c>
      <c r="L456" s="302">
        <f t="shared" ref="L456:L457" si="342">D461-D456</f>
        <v>14.648999997356469</v>
      </c>
      <c r="M456" s="302">
        <f t="shared" ref="M456:M457" si="343">F461-F456</f>
        <v>14.961000001447701</v>
      </c>
      <c r="N456" s="302">
        <f t="shared" ref="N456:N457" si="344">SUM(K456:M456)</f>
        <v>30.761999997731593</v>
      </c>
    </row>
    <row r="457" spans="1:14" x14ac:dyDescent="0.3">
      <c r="A457" s="282" t="s">
        <v>354</v>
      </c>
      <c r="B457" s="302">
        <f>SUM(B455:B456)</f>
        <v>292.80400000173989</v>
      </c>
      <c r="C457" s="299" t="str">
        <f>CONCATENATE("(",ROUND((B457/$H457)*100,1),")")</f>
        <v>(33.1)</v>
      </c>
      <c r="D457" s="302">
        <f>SUM(D455:D456)</f>
        <v>338.6160000020077</v>
      </c>
      <c r="E457" s="299" t="str">
        <f>CONCATENATE("(",ROUND((D457/$H457)*100,1),")")</f>
        <v>(38.2)</v>
      </c>
      <c r="F457" s="302">
        <f>SUM(F455:F456)</f>
        <v>254.1890000094468</v>
      </c>
      <c r="G457" s="299" t="str">
        <f>CONCATENATE("(",ROUND((F457/$H457)*100,1),")")</f>
        <v>(28.7)</v>
      </c>
      <c r="H457" s="302">
        <f>SUM(H455:H456)</f>
        <v>885.60900001319442</v>
      </c>
      <c r="I457" s="299" t="str">
        <f>CONCATENATE("(",ROUND((H457/$H457)*100,1),")")</f>
        <v>(100)</v>
      </c>
      <c r="K457" s="302">
        <f t="shared" si="341"/>
        <v>15.297999998717671</v>
      </c>
      <c r="L457" s="302">
        <f t="shared" si="342"/>
        <v>30.77099999763584</v>
      </c>
      <c r="M457" s="302">
        <f t="shared" si="343"/>
        <v>25.896999999618942</v>
      </c>
      <c r="N457" s="302">
        <f t="shared" si="344"/>
        <v>71.965999995972453</v>
      </c>
    </row>
    <row r="458" spans="1:14" x14ac:dyDescent="0.3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3">
      <c r="A460" s="282" t="s">
        <v>355</v>
      </c>
      <c r="B460" s="302">
        <f>'Ind T6'!V540</f>
        <v>182.17899999999037</v>
      </c>
      <c r="C460" s="299" t="str">
        <f>CONCATENATE("(",ROUND((B460/$H462)*100,1),")")</f>
        <v>(19)</v>
      </c>
      <c r="D460" s="302">
        <f>'Ind T6'!W540</f>
        <v>155.46100000043322</v>
      </c>
      <c r="E460" s="299" t="str">
        <f>CONCATENATE("(",ROUND((D460/$H462)*100,1),")")</f>
        <v>(16.2)</v>
      </c>
      <c r="F460" s="302">
        <f>'Ind T6'!X540</f>
        <v>132.0000000079668</v>
      </c>
      <c r="G460" s="299" t="str">
        <f>CONCATENATE("(",ROUND((F460/$H462)*100,1),")")</f>
        <v>(13.8)</v>
      </c>
      <c r="H460" s="302">
        <f>SUM(B460,D460,F460)</f>
        <v>469.64000000839042</v>
      </c>
      <c r="I460" s="299" t="str">
        <f>CONCATENATE("(",ROUND((H460/$H462)*100,1),")")</f>
        <v>(49)</v>
      </c>
      <c r="K460" s="302">
        <f>B460-B450</f>
        <v>21.48900000005699</v>
      </c>
      <c r="L460" s="302">
        <f>D460-D450</f>
        <v>24.075000000188567</v>
      </c>
      <c r="M460" s="302">
        <f>F460-F450</f>
        <v>10.036000003912974</v>
      </c>
      <c r="N460" s="302">
        <f>SUM(K460:M460)</f>
        <v>55.600000004158531</v>
      </c>
    </row>
    <row r="461" spans="1:14" x14ac:dyDescent="0.3">
      <c r="A461" s="282" t="s">
        <v>356</v>
      </c>
      <c r="B461" s="302">
        <f>'Ind T6'!V539</f>
        <v>125.92300000046721</v>
      </c>
      <c r="C461" s="299" t="str">
        <f>CONCATENATE("(",ROUND((B461/$H462)*100,1),")")</f>
        <v>(13.2)</v>
      </c>
      <c r="D461" s="302">
        <f>'Ind T6'!W539</f>
        <v>213.92599999921032</v>
      </c>
      <c r="E461" s="299" t="str">
        <f>CONCATENATE("(",ROUND((D461/$H462)*100,1),")")</f>
        <v>(22.3)</v>
      </c>
      <c r="F461" s="302">
        <f>'Ind T6'!X539</f>
        <v>148.08600000109894</v>
      </c>
      <c r="G461" s="299" t="str">
        <f>CONCATENATE("(",ROUND((F461/$H462)*100,1),")")</f>
        <v>(15.5)</v>
      </c>
      <c r="H461" s="302">
        <f t="shared" ref="H461" si="345">SUM(B461,D461,F461)</f>
        <v>487.93500000077643</v>
      </c>
      <c r="I461" s="299" t="str">
        <f>CONCATENATE("(",ROUND((H461/$H462)*100,1),")")</f>
        <v>(51)</v>
      </c>
      <c r="K461" s="302">
        <f t="shared" ref="K461:K462" si="346">B461-B451</f>
        <v>0.61300000102099261</v>
      </c>
      <c r="L461" s="302">
        <f t="shared" ref="L461:L462" si="347">D461-D451</f>
        <v>22.196999998258491</v>
      </c>
      <c r="M461" s="302">
        <f t="shared" ref="M461:M462" si="348">F461-F451</f>
        <v>14.42700000388615</v>
      </c>
      <c r="N461" s="302">
        <f t="shared" ref="N461:N462" si="349">SUM(K461:M461)</f>
        <v>37.237000003165633</v>
      </c>
    </row>
    <row r="462" spans="1:14" x14ac:dyDescent="0.3">
      <c r="A462" s="282" t="s">
        <v>354</v>
      </c>
      <c r="B462" s="302">
        <f>SUM(B460:B461)</f>
        <v>308.10200000045756</v>
      </c>
      <c r="C462" s="299" t="str">
        <f>CONCATENATE("(",ROUND((B462/$H462)*100,1),")")</f>
        <v>(32.2)</v>
      </c>
      <c r="D462" s="302">
        <f>SUM(D460:D461)</f>
        <v>369.38699999964354</v>
      </c>
      <c r="E462" s="299" t="str">
        <f>CONCATENATE("(",ROUND((D462/$H462)*100,1),")")</f>
        <v>(38.6)</v>
      </c>
      <c r="F462" s="302">
        <f>SUM(F460:F461)</f>
        <v>280.08600000906574</v>
      </c>
      <c r="G462" s="299" t="str">
        <f>CONCATENATE("(",ROUND((F462/$H462)*100,1),")")</f>
        <v>(29.2)</v>
      </c>
      <c r="H462" s="302">
        <f>SUM(H460:H461)</f>
        <v>957.57500000916684</v>
      </c>
      <c r="I462" s="299" t="str">
        <f>CONCATENATE("(",ROUND((H462/$H462)*100,1),")")</f>
        <v>(100)</v>
      </c>
      <c r="K462" s="302">
        <f t="shared" si="346"/>
        <v>22.102000001077954</v>
      </c>
      <c r="L462" s="302">
        <f t="shared" si="347"/>
        <v>46.271999998447086</v>
      </c>
      <c r="M462" s="302">
        <f t="shared" si="348"/>
        <v>24.46300000779911</v>
      </c>
      <c r="N462" s="302">
        <f t="shared" si="349"/>
        <v>92.83700000732415</v>
      </c>
    </row>
    <row r="463" spans="1:14" x14ac:dyDescent="0.3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3">
      <c r="C466" s="181"/>
      <c r="E466" s="181"/>
      <c r="G466" s="181"/>
      <c r="I466" s="181"/>
    </row>
    <row r="467" spans="1:14" x14ac:dyDescent="0.3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3">
      <c r="N468" s="287" t="s">
        <v>377</v>
      </c>
    </row>
    <row r="469" spans="1:14" x14ac:dyDescent="0.3">
      <c r="A469" s="181" t="s">
        <v>378</v>
      </c>
      <c r="B469" s="370" t="s">
        <v>376</v>
      </c>
      <c r="C469" s="370"/>
      <c r="D469" s="370" t="s">
        <v>375</v>
      </c>
      <c r="E469" s="370"/>
      <c r="F469" s="370" t="s">
        <v>374</v>
      </c>
      <c r="G469" s="370"/>
      <c r="H469" s="370" t="s">
        <v>32</v>
      </c>
      <c r="I469" s="370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3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3">
      <c r="A471" s="282" t="s">
        <v>355</v>
      </c>
      <c r="B471" s="302">
        <f>'Ind T6'!L565</f>
        <v>165.03799999967373</v>
      </c>
      <c r="C471" s="299" t="str">
        <f>CONCATENATE("(",ROUND((B471/$H473)*100,1),")")</f>
        <v>(19.3)</v>
      </c>
      <c r="D471" s="302">
        <f>'Ind T6'!M565</f>
        <v>58.017000000129386</v>
      </c>
      <c r="E471" s="299" t="str">
        <f>CONCATENATE("(",ROUND((D471/$H473)*100,1),")")</f>
        <v>(6.8)</v>
      </c>
      <c r="F471" s="302">
        <f>'Ind T6'!N565</f>
        <v>81.063000001456999</v>
      </c>
      <c r="G471" s="299" t="str">
        <f>CONCATENATE("(",ROUND((F471/$H473)*100,1),")")</f>
        <v>(9.5)</v>
      </c>
      <c r="H471" s="302">
        <f>SUM(B471,D471,F471)</f>
        <v>304.1180000012601</v>
      </c>
      <c r="I471" s="299" t="str">
        <f>CONCATENATE("(",ROUND((H471/$H473)*100,1),")")</f>
        <v>(35.5)</v>
      </c>
      <c r="K471" s="302">
        <f>B476-B471</f>
        <v>4.2430000005564352</v>
      </c>
      <c r="L471" s="302">
        <f>D476-D471</f>
        <v>9.4999999848397465E-2</v>
      </c>
      <c r="M471" s="302">
        <f>F476-F471</f>
        <v>2.486000002024042</v>
      </c>
      <c r="N471" s="302">
        <f>SUM(K471:M471)</f>
        <v>6.8240000024288747</v>
      </c>
    </row>
    <row r="472" spans="1:14" x14ac:dyDescent="0.3">
      <c r="A472" s="282" t="s">
        <v>356</v>
      </c>
      <c r="B472" s="302">
        <f>'Ind T6'!L564</f>
        <v>181.7679999992622</v>
      </c>
      <c r="C472" s="299" t="str">
        <f>CONCATENATE("(",ROUND((B472/$H473)*100,1),")")</f>
        <v>(21.2)</v>
      </c>
      <c r="D472" s="302">
        <f>'Ind T6'!M564</f>
        <v>161.03000000117873</v>
      </c>
      <c r="E472" s="299" t="str">
        <f>CONCATENATE("(",ROUND((D472/$H473)*100,1),")")</f>
        <v>(18.8)</v>
      </c>
      <c r="F472" s="302">
        <f>'Ind T6'!N564</f>
        <v>209.39199999563485</v>
      </c>
      <c r="G472" s="299" t="str">
        <f>CONCATENATE("(",ROUND((F472/$H473)*100,1),")")</f>
        <v>(24.5)</v>
      </c>
      <c r="H472" s="302">
        <f t="shared" ref="H472" si="350">SUM(B472,D472,F472)</f>
        <v>552.18999999607581</v>
      </c>
      <c r="I472" s="299" t="str">
        <f>CONCATENATE("(",ROUND((H472/$H473)*100,1),")")</f>
        <v>(64.5)</v>
      </c>
      <c r="K472" s="302">
        <f t="shared" ref="K472:K473" si="351">B477-B472</f>
        <v>-4.7329999964589717</v>
      </c>
      <c r="L472" s="302">
        <f t="shared" ref="L472:L473" si="352">D477-D472</f>
        <v>-3.9549999994675602</v>
      </c>
      <c r="M472" s="302">
        <f t="shared" ref="M472:M473" si="353">F477-F472</f>
        <v>-4.9969999960552798</v>
      </c>
      <c r="N472" s="302">
        <f t="shared" ref="N472:N473" si="354">SUM(K472:M472)</f>
        <v>-13.684999991981812</v>
      </c>
    </row>
    <row r="473" spans="1:14" x14ac:dyDescent="0.3">
      <c r="A473" s="282" t="s">
        <v>354</v>
      </c>
      <c r="B473" s="302">
        <f>SUM(B471:B472)</f>
        <v>346.80599999893593</v>
      </c>
      <c r="C473" s="299" t="str">
        <f>CONCATENATE("(",ROUND((B473/$H473)*100,1),")")</f>
        <v>(40.5)</v>
      </c>
      <c r="D473" s="302">
        <f>SUM(D471:D472)</f>
        <v>219.04700000130811</v>
      </c>
      <c r="E473" s="299" t="str">
        <f>CONCATENATE("(",ROUND((D473/$H473)*100,1),")")</f>
        <v>(25.6)</v>
      </c>
      <c r="F473" s="302">
        <f>SUM(F471:F472)</f>
        <v>290.45499999709182</v>
      </c>
      <c r="G473" s="299" t="str">
        <f>CONCATENATE("(",ROUND((F473/$H473)*100,1),")")</f>
        <v>(33.9)</v>
      </c>
      <c r="H473" s="302">
        <f>SUM(H471:H472)</f>
        <v>856.30799999733586</v>
      </c>
      <c r="I473" s="299" t="str">
        <f>CONCATENATE("(",ROUND((H473/$H473)*100,1),")")</f>
        <v>(100)</v>
      </c>
      <c r="K473" s="302">
        <f t="shared" si="351"/>
        <v>-0.48999999590250809</v>
      </c>
      <c r="L473" s="302">
        <f t="shared" si="352"/>
        <v>-3.8599999996191627</v>
      </c>
      <c r="M473" s="302">
        <f t="shared" si="353"/>
        <v>-2.5109999940311809</v>
      </c>
      <c r="N473" s="302">
        <f t="shared" si="354"/>
        <v>-6.8609999895528517</v>
      </c>
    </row>
    <row r="474" spans="1:14" x14ac:dyDescent="0.3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3">
      <c r="A476" s="282" t="s">
        <v>355</v>
      </c>
      <c r="B476" s="302">
        <f>'Ind T6'!Q565</f>
        <v>169.28100000023016</v>
      </c>
      <c r="C476" s="299" t="str">
        <f>CONCATENATE("(",ROUND((B476/$H478)*100,1),")")</f>
        <v>(19.9)</v>
      </c>
      <c r="D476" s="302">
        <f>'Ind T6'!R565</f>
        <v>58.111999999977783</v>
      </c>
      <c r="E476" s="299" t="str">
        <f>CONCATENATE("(",ROUND((D476/$H478)*100,1),")")</f>
        <v>(6.8)</v>
      </c>
      <c r="F476" s="302">
        <f>'Ind T6'!S565</f>
        <v>83.549000003481041</v>
      </c>
      <c r="G476" s="299" t="str">
        <f>CONCATENATE("(",ROUND((F476/$H478)*100,1),")")</f>
        <v>(9.8)</v>
      </c>
      <c r="H476" s="302">
        <f>SUM(B476,D476,F476)</f>
        <v>310.94200000368903</v>
      </c>
      <c r="I476" s="299" t="str">
        <f>CONCATENATE("(",ROUND((H476/$H478)*100,1),")")</f>
        <v>(36.6)</v>
      </c>
      <c r="K476" s="302">
        <f>B481-B476</f>
        <v>10.535999999731644</v>
      </c>
      <c r="L476" s="302">
        <f>D481-D476</f>
        <v>1.3109999999643307</v>
      </c>
      <c r="M476" s="302">
        <f>F481-F476</f>
        <v>5.0129999990188878</v>
      </c>
      <c r="N476" s="302">
        <f>SUM(K476:M476)</f>
        <v>16.859999998714862</v>
      </c>
    </row>
    <row r="477" spans="1:14" x14ac:dyDescent="0.3">
      <c r="A477" s="282" t="s">
        <v>356</v>
      </c>
      <c r="B477" s="302">
        <f>'Ind T6'!Q564</f>
        <v>177.03500000280323</v>
      </c>
      <c r="C477" s="299" t="str">
        <f>CONCATENATE("(",ROUND((B477/$H478)*100,1),")")</f>
        <v>(20.8)</v>
      </c>
      <c r="D477" s="302">
        <f>'Ind T6'!R564</f>
        <v>157.07500000171117</v>
      </c>
      <c r="E477" s="299" t="str">
        <f>CONCATENATE("(",ROUND((D477/$H478)*100,1),")")</f>
        <v>(18.5)</v>
      </c>
      <c r="F477" s="302">
        <f>'Ind T6'!S564</f>
        <v>204.39499999957957</v>
      </c>
      <c r="G477" s="299" t="str">
        <f>CONCATENATE("(",ROUND((F477/$H478)*100,1),")")</f>
        <v>(24.1)</v>
      </c>
      <c r="H477" s="302">
        <f t="shared" ref="H477" si="355">SUM(B477,D477,F477)</f>
        <v>538.50500000409397</v>
      </c>
      <c r="I477" s="299" t="str">
        <f>CONCATENATE("(",ROUND((H477/$H478)*100,1),")")</f>
        <v>(63.4)</v>
      </c>
      <c r="K477" s="302">
        <f t="shared" ref="K477:K478" si="356">B482-B477</f>
        <v>-4.8010000027933302</v>
      </c>
      <c r="L477" s="302">
        <f t="shared" ref="L477:L478" si="357">D482-D477</f>
        <v>-3.1680000022968784</v>
      </c>
      <c r="M477" s="302">
        <f t="shared" ref="M477:M478" si="358">F482-F477</f>
        <v>-2.2539999975955993</v>
      </c>
      <c r="N477" s="302">
        <f t="shared" ref="N477:N478" si="359">SUM(K477:M477)</f>
        <v>-10.223000002685808</v>
      </c>
    </row>
    <row r="478" spans="1:14" x14ac:dyDescent="0.3">
      <c r="A478" s="282" t="s">
        <v>354</v>
      </c>
      <c r="B478" s="302">
        <f>SUM(B476:B477)</f>
        <v>346.31600000303342</v>
      </c>
      <c r="C478" s="299" t="str">
        <f>CONCATENATE("(",ROUND((B478/$H478)*100,1),")")</f>
        <v>(40.8)</v>
      </c>
      <c r="D478" s="302">
        <f>SUM(D476:D477)</f>
        <v>215.18700000168894</v>
      </c>
      <c r="E478" s="299" t="str">
        <f>CONCATENATE("(",ROUND((D478/$H478)*100,1),")")</f>
        <v>(25.3)</v>
      </c>
      <c r="F478" s="302">
        <f>SUM(F476:F477)</f>
        <v>287.94400000306064</v>
      </c>
      <c r="G478" s="299" t="str">
        <f>CONCATENATE("(",ROUND((F478/$H478)*100,1),")")</f>
        <v>(33.9)</v>
      </c>
      <c r="H478" s="302">
        <f>SUM(H476:H477)</f>
        <v>849.447000007783</v>
      </c>
      <c r="I478" s="299" t="str">
        <f>CONCATENATE("(",ROUND((H478/$H478)*100,1),")")</f>
        <v>(100)</v>
      </c>
      <c r="K478" s="302">
        <f t="shared" si="356"/>
        <v>5.7349999969383134</v>
      </c>
      <c r="L478" s="302">
        <f t="shared" si="357"/>
        <v>-1.8570000023325406</v>
      </c>
      <c r="M478" s="302">
        <f t="shared" si="358"/>
        <v>2.7590000014232601</v>
      </c>
      <c r="N478" s="302">
        <f t="shared" si="359"/>
        <v>6.6369999960290329</v>
      </c>
    </row>
    <row r="479" spans="1:14" x14ac:dyDescent="0.3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3">
      <c r="A481" s="282" t="s">
        <v>355</v>
      </c>
      <c r="B481" s="302">
        <f>'Ind T6'!V565</f>
        <v>179.81699999996181</v>
      </c>
      <c r="C481" s="299" t="str">
        <f>CONCATENATE("(",ROUND((B481/$H483)*100,1),")")</f>
        <v>(21)</v>
      </c>
      <c r="D481" s="302">
        <f>'Ind T6'!W565</f>
        <v>59.422999999942114</v>
      </c>
      <c r="E481" s="299" t="str">
        <f>CONCATENATE("(",ROUND((D481/$H483)*100,1),")")</f>
        <v>(6.9)</v>
      </c>
      <c r="F481" s="302">
        <f>'Ind T6'!X565</f>
        <v>88.562000002499929</v>
      </c>
      <c r="G481" s="299" t="str">
        <f>CONCATENATE("(",ROUND((F481/$H483)*100,1),")")</f>
        <v>(10.3)</v>
      </c>
      <c r="H481" s="302">
        <f>SUM(B481,D481,F481)</f>
        <v>327.80200000240382</v>
      </c>
      <c r="I481" s="299" t="str">
        <f>CONCATENATE("(",ROUND((H481/$H483)*100,1),")")</f>
        <v>(38.3)</v>
      </c>
      <c r="K481" s="302">
        <f>B481-B471</f>
        <v>14.779000000288079</v>
      </c>
      <c r="L481" s="302">
        <f>D481-D471</f>
        <v>1.4059999998127282</v>
      </c>
      <c r="M481" s="302">
        <f>F481-F471</f>
        <v>7.4990000010429299</v>
      </c>
      <c r="N481" s="302">
        <f>SUM(K481:M481)</f>
        <v>23.684000001143737</v>
      </c>
    </row>
    <row r="482" spans="1:14" x14ac:dyDescent="0.3">
      <c r="A482" s="282" t="s">
        <v>356</v>
      </c>
      <c r="B482" s="302">
        <f>'Ind T6'!V564</f>
        <v>172.2340000000099</v>
      </c>
      <c r="C482" s="299" t="str">
        <f>CONCATENATE("(",ROUND((B482/$H483)*100,1),")")</f>
        <v>(20.1)</v>
      </c>
      <c r="D482" s="302">
        <f>'Ind T6'!W564</f>
        <v>153.9069999994143</v>
      </c>
      <c r="E482" s="299" t="str">
        <f>CONCATENATE("(",ROUND((D482/$H483)*100,1),")")</f>
        <v>(18)</v>
      </c>
      <c r="F482" s="302">
        <f>'Ind T6'!X564</f>
        <v>202.14100000198397</v>
      </c>
      <c r="G482" s="299" t="str">
        <f>CONCATENATE("(",ROUND((F482/$H483)*100,1),")")</f>
        <v>(23.6)</v>
      </c>
      <c r="H482" s="302">
        <f t="shared" ref="H482" si="360">SUM(B482,D482,F482)</f>
        <v>528.28200000140816</v>
      </c>
      <c r="I482" s="299" t="str">
        <f>CONCATENATE("(",ROUND((H482/$H483)*100,1),")")</f>
        <v>(61.7)</v>
      </c>
      <c r="K482" s="302">
        <f t="shared" ref="K482:K483" si="361">B482-B472</f>
        <v>-9.5339999992523019</v>
      </c>
      <c r="L482" s="302">
        <f t="shared" ref="L482:L483" si="362">D482-D472</f>
        <v>-7.1230000017644386</v>
      </c>
      <c r="M482" s="302">
        <f t="shared" ref="M482:M483" si="363">F482-F472</f>
        <v>-7.2509999936508791</v>
      </c>
      <c r="N482" s="302">
        <f t="shared" ref="N482:N483" si="364">SUM(K482:M482)</f>
        <v>-23.90799999466762</v>
      </c>
    </row>
    <row r="483" spans="1:14" x14ac:dyDescent="0.3">
      <c r="A483" s="282" t="s">
        <v>354</v>
      </c>
      <c r="B483" s="302">
        <f>SUM(B481:B482)</f>
        <v>352.05099999997174</v>
      </c>
      <c r="C483" s="299" t="str">
        <f>CONCATENATE("(",ROUND((B483/$H483)*100,1),")")</f>
        <v>(41.1)</v>
      </c>
      <c r="D483" s="302">
        <f>SUM(D481:D482)</f>
        <v>213.3299999993564</v>
      </c>
      <c r="E483" s="299" t="str">
        <f>CONCATENATE("(",ROUND((D483/$H483)*100,1),")")</f>
        <v>(24.9)</v>
      </c>
      <c r="F483" s="302">
        <f>SUM(F481:F482)</f>
        <v>290.7030000044839</v>
      </c>
      <c r="G483" s="299" t="str">
        <f>CONCATENATE("(",ROUND((F483/$H483)*100,1),")")</f>
        <v>(34)</v>
      </c>
      <c r="H483" s="302">
        <f>SUM(H481:H482)</f>
        <v>856.08400000381198</v>
      </c>
      <c r="I483" s="299" t="str">
        <f>CONCATENATE("(",ROUND((H483/$H483)*100,1),")")</f>
        <v>(100)</v>
      </c>
      <c r="K483" s="302">
        <f t="shared" si="361"/>
        <v>5.2450000010358053</v>
      </c>
      <c r="L483" s="302">
        <f t="shared" si="362"/>
        <v>-5.7170000019517033</v>
      </c>
      <c r="M483" s="302">
        <f t="shared" si="363"/>
        <v>0.24800000739207917</v>
      </c>
      <c r="N483" s="302">
        <f t="shared" si="364"/>
        <v>-0.22399999352381883</v>
      </c>
    </row>
    <row r="484" spans="1:14" x14ac:dyDescent="0.3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3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3">
      <c r="N489" s="287"/>
    </row>
    <row r="490" spans="1:14" x14ac:dyDescent="0.3">
      <c r="A490" s="181"/>
      <c r="B490" s="370"/>
      <c r="C490" s="370"/>
      <c r="D490" s="370"/>
      <c r="E490" s="370"/>
      <c r="F490" s="370"/>
      <c r="G490" s="370"/>
      <c r="H490" s="370"/>
      <c r="I490" s="370"/>
      <c r="J490" s="181"/>
      <c r="K490" s="287"/>
      <c r="L490" s="287"/>
      <c r="M490" s="287"/>
      <c r="N490" s="287"/>
    </row>
    <row r="491" spans="1:14" x14ac:dyDescent="0.3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3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3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3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3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3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3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3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3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3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3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3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3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3">
      <c r="N510" s="287"/>
    </row>
    <row r="511" spans="1:14" x14ac:dyDescent="0.3">
      <c r="A511" s="181"/>
      <c r="B511" s="370"/>
      <c r="C511" s="370"/>
      <c r="D511" s="370"/>
      <c r="E511" s="370"/>
      <c r="F511" s="370"/>
      <c r="G511" s="370"/>
      <c r="H511" s="370"/>
      <c r="I511" s="370"/>
      <c r="J511" s="181"/>
      <c r="K511" s="287"/>
      <c r="L511" s="287"/>
      <c r="M511" s="287"/>
      <c r="N511" s="287"/>
    </row>
    <row r="512" spans="1:14" x14ac:dyDescent="0.3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3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3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3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3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3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3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3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3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3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3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3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3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3">
      <c r="N531" s="287"/>
    </row>
    <row r="532" spans="1:14" x14ac:dyDescent="0.3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3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3">
      <c r="C534" s="284"/>
      <c r="E534" s="284"/>
      <c r="G534" s="284"/>
      <c r="I534" s="284"/>
    </row>
    <row r="535" spans="1:14" x14ac:dyDescent="0.3">
      <c r="C535" s="284"/>
      <c r="E535" s="284"/>
      <c r="G535" s="284"/>
      <c r="I535" s="284"/>
    </row>
    <row r="536" spans="1:14" x14ac:dyDescent="0.3">
      <c r="C536" s="284"/>
      <c r="E536" s="284"/>
      <c r="G536" s="284"/>
      <c r="I536" s="284"/>
    </row>
    <row r="537" spans="1:14" x14ac:dyDescent="0.3">
      <c r="C537" s="284"/>
      <c r="E537" s="284"/>
      <c r="G537" s="284"/>
      <c r="I537" s="284"/>
    </row>
    <row r="538" spans="1:14" x14ac:dyDescent="0.3">
      <c r="A538" s="292"/>
      <c r="C538" s="284"/>
      <c r="E538" s="284"/>
      <c r="G538" s="284"/>
      <c r="I538" s="284"/>
      <c r="K538" s="285"/>
    </row>
    <row r="539" spans="1:14" x14ac:dyDescent="0.3">
      <c r="C539" s="284"/>
      <c r="E539" s="284"/>
      <c r="G539" s="284"/>
      <c r="I539" s="284"/>
    </row>
    <row r="540" spans="1:14" x14ac:dyDescent="0.3">
      <c r="C540" s="284"/>
      <c r="E540" s="284"/>
      <c r="G540" s="284"/>
      <c r="I540" s="284"/>
    </row>
    <row r="541" spans="1:14" x14ac:dyDescent="0.3">
      <c r="C541" s="284"/>
      <c r="E541" s="284"/>
      <c r="G541" s="284"/>
      <c r="I541" s="284"/>
    </row>
    <row r="542" spans="1:14" x14ac:dyDescent="0.3">
      <c r="C542" s="284"/>
      <c r="E542" s="284"/>
      <c r="G542" s="284"/>
      <c r="I542" s="284"/>
    </row>
    <row r="543" spans="1:14" x14ac:dyDescent="0.3">
      <c r="A543" s="292"/>
      <c r="C543" s="284"/>
      <c r="E543" s="284"/>
      <c r="G543" s="284"/>
      <c r="I543" s="284"/>
      <c r="K543" s="285"/>
    </row>
    <row r="544" spans="1:14" x14ac:dyDescent="0.3">
      <c r="C544" s="284"/>
      <c r="E544" s="284"/>
      <c r="G544" s="284"/>
      <c r="I544" s="284"/>
    </row>
    <row r="545" spans="1:9" x14ac:dyDescent="0.3">
      <c r="C545" s="284"/>
      <c r="E545" s="284"/>
      <c r="G545" s="284"/>
      <c r="I545" s="284"/>
    </row>
    <row r="546" spans="1:9" x14ac:dyDescent="0.3">
      <c r="C546" s="284"/>
      <c r="E546" s="284"/>
      <c r="G546" s="284"/>
      <c r="I546" s="284"/>
    </row>
    <row r="557" spans="1:9" x14ac:dyDescent="0.3">
      <c r="C557" s="181"/>
      <c r="E557" s="181"/>
      <c r="G557" s="181"/>
      <c r="I557" s="181"/>
    </row>
    <row r="558" spans="1:9" x14ac:dyDescent="0.3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3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3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3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3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3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3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3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3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3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3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3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3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3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3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3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3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3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3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3">
      <c r="A577" s="181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3046875" defaultRowHeight="12.9" x14ac:dyDescent="0.35"/>
  <cols>
    <col min="1" max="1" width="40.69140625" style="260" customWidth="1"/>
    <col min="2" max="2" width="6.69140625" style="263" customWidth="1"/>
    <col min="3" max="3" width="6.69140625" style="314" customWidth="1"/>
    <col min="4" max="25" width="6.69140625" style="263" customWidth="1"/>
    <col min="26" max="26" width="7.53515625" style="260" customWidth="1"/>
    <col min="27" max="266" width="6.3046875" style="260"/>
    <col min="267" max="267" width="43.53515625" style="260" customWidth="1"/>
    <col min="268" max="268" width="7.53515625" style="260" customWidth="1"/>
    <col min="269" max="270" width="8.3828125" style="260" customWidth="1"/>
    <col min="271" max="271" width="6.69140625" style="260" customWidth="1"/>
    <col min="272" max="273" width="7.53515625" style="260" customWidth="1"/>
    <col min="274" max="275" width="8.3828125" style="260" customWidth="1"/>
    <col min="276" max="276" width="6.69140625" style="260" customWidth="1"/>
    <col min="277" max="278" width="7.53515625" style="260" customWidth="1"/>
    <col min="279" max="280" width="8.3828125" style="260" customWidth="1"/>
    <col min="281" max="281" width="6.69140625" style="260" customWidth="1"/>
    <col min="282" max="282" width="7.53515625" style="260" customWidth="1"/>
    <col min="283" max="522" width="6.3046875" style="260"/>
    <col min="523" max="523" width="43.53515625" style="260" customWidth="1"/>
    <col min="524" max="524" width="7.53515625" style="260" customWidth="1"/>
    <col min="525" max="526" width="8.3828125" style="260" customWidth="1"/>
    <col min="527" max="527" width="6.69140625" style="260" customWidth="1"/>
    <col min="528" max="529" width="7.53515625" style="260" customWidth="1"/>
    <col min="530" max="531" width="8.3828125" style="260" customWidth="1"/>
    <col min="532" max="532" width="6.69140625" style="260" customWidth="1"/>
    <col min="533" max="534" width="7.53515625" style="260" customWidth="1"/>
    <col min="535" max="536" width="8.3828125" style="260" customWidth="1"/>
    <col min="537" max="537" width="6.69140625" style="260" customWidth="1"/>
    <col min="538" max="538" width="7.53515625" style="260" customWidth="1"/>
    <col min="539" max="778" width="6.3046875" style="260"/>
    <col min="779" max="779" width="43.53515625" style="260" customWidth="1"/>
    <col min="780" max="780" width="7.53515625" style="260" customWidth="1"/>
    <col min="781" max="782" width="8.3828125" style="260" customWidth="1"/>
    <col min="783" max="783" width="6.69140625" style="260" customWidth="1"/>
    <col min="784" max="785" width="7.53515625" style="260" customWidth="1"/>
    <col min="786" max="787" width="8.3828125" style="260" customWidth="1"/>
    <col min="788" max="788" width="6.69140625" style="260" customWidth="1"/>
    <col min="789" max="790" width="7.53515625" style="260" customWidth="1"/>
    <col min="791" max="792" width="8.3828125" style="260" customWidth="1"/>
    <col min="793" max="793" width="6.69140625" style="260" customWidth="1"/>
    <col min="794" max="794" width="7.53515625" style="260" customWidth="1"/>
    <col min="795" max="1034" width="6.3046875" style="260"/>
    <col min="1035" max="1035" width="43.53515625" style="260" customWidth="1"/>
    <col min="1036" max="1036" width="7.53515625" style="260" customWidth="1"/>
    <col min="1037" max="1038" width="8.3828125" style="260" customWidth="1"/>
    <col min="1039" max="1039" width="6.69140625" style="260" customWidth="1"/>
    <col min="1040" max="1041" width="7.53515625" style="260" customWidth="1"/>
    <col min="1042" max="1043" width="8.3828125" style="260" customWidth="1"/>
    <col min="1044" max="1044" width="6.69140625" style="260" customWidth="1"/>
    <col min="1045" max="1046" width="7.53515625" style="260" customWidth="1"/>
    <col min="1047" max="1048" width="8.3828125" style="260" customWidth="1"/>
    <col min="1049" max="1049" width="6.69140625" style="260" customWidth="1"/>
    <col min="1050" max="1050" width="7.53515625" style="260" customWidth="1"/>
    <col min="1051" max="1290" width="6.3046875" style="260"/>
    <col min="1291" max="1291" width="43.53515625" style="260" customWidth="1"/>
    <col min="1292" max="1292" width="7.53515625" style="260" customWidth="1"/>
    <col min="1293" max="1294" width="8.3828125" style="260" customWidth="1"/>
    <col min="1295" max="1295" width="6.69140625" style="260" customWidth="1"/>
    <col min="1296" max="1297" width="7.53515625" style="260" customWidth="1"/>
    <col min="1298" max="1299" width="8.3828125" style="260" customWidth="1"/>
    <col min="1300" max="1300" width="6.69140625" style="260" customWidth="1"/>
    <col min="1301" max="1302" width="7.53515625" style="260" customWidth="1"/>
    <col min="1303" max="1304" width="8.3828125" style="260" customWidth="1"/>
    <col min="1305" max="1305" width="6.69140625" style="260" customWidth="1"/>
    <col min="1306" max="1306" width="7.53515625" style="260" customWidth="1"/>
    <col min="1307" max="1546" width="6.3046875" style="260"/>
    <col min="1547" max="1547" width="43.53515625" style="260" customWidth="1"/>
    <col min="1548" max="1548" width="7.53515625" style="260" customWidth="1"/>
    <col min="1549" max="1550" width="8.3828125" style="260" customWidth="1"/>
    <col min="1551" max="1551" width="6.69140625" style="260" customWidth="1"/>
    <col min="1552" max="1553" width="7.53515625" style="260" customWidth="1"/>
    <col min="1554" max="1555" width="8.3828125" style="260" customWidth="1"/>
    <col min="1556" max="1556" width="6.69140625" style="260" customWidth="1"/>
    <col min="1557" max="1558" width="7.53515625" style="260" customWidth="1"/>
    <col min="1559" max="1560" width="8.3828125" style="260" customWidth="1"/>
    <col min="1561" max="1561" width="6.69140625" style="260" customWidth="1"/>
    <col min="1562" max="1562" width="7.53515625" style="260" customWidth="1"/>
    <col min="1563" max="1802" width="6.3046875" style="260"/>
    <col min="1803" max="1803" width="43.53515625" style="260" customWidth="1"/>
    <col min="1804" max="1804" width="7.53515625" style="260" customWidth="1"/>
    <col min="1805" max="1806" width="8.3828125" style="260" customWidth="1"/>
    <col min="1807" max="1807" width="6.69140625" style="260" customWidth="1"/>
    <col min="1808" max="1809" width="7.53515625" style="260" customWidth="1"/>
    <col min="1810" max="1811" width="8.3828125" style="260" customWidth="1"/>
    <col min="1812" max="1812" width="6.69140625" style="260" customWidth="1"/>
    <col min="1813" max="1814" width="7.53515625" style="260" customWidth="1"/>
    <col min="1815" max="1816" width="8.3828125" style="260" customWidth="1"/>
    <col min="1817" max="1817" width="6.69140625" style="260" customWidth="1"/>
    <col min="1818" max="1818" width="7.53515625" style="260" customWidth="1"/>
    <col min="1819" max="2058" width="6.3046875" style="260"/>
    <col min="2059" max="2059" width="43.53515625" style="260" customWidth="1"/>
    <col min="2060" max="2060" width="7.53515625" style="260" customWidth="1"/>
    <col min="2061" max="2062" width="8.3828125" style="260" customWidth="1"/>
    <col min="2063" max="2063" width="6.69140625" style="260" customWidth="1"/>
    <col min="2064" max="2065" width="7.53515625" style="260" customWidth="1"/>
    <col min="2066" max="2067" width="8.3828125" style="260" customWidth="1"/>
    <col min="2068" max="2068" width="6.69140625" style="260" customWidth="1"/>
    <col min="2069" max="2070" width="7.53515625" style="260" customWidth="1"/>
    <col min="2071" max="2072" width="8.3828125" style="260" customWidth="1"/>
    <col min="2073" max="2073" width="6.69140625" style="260" customWidth="1"/>
    <col min="2074" max="2074" width="7.53515625" style="260" customWidth="1"/>
    <col min="2075" max="2314" width="6.3046875" style="260"/>
    <col min="2315" max="2315" width="43.53515625" style="260" customWidth="1"/>
    <col min="2316" max="2316" width="7.53515625" style="260" customWidth="1"/>
    <col min="2317" max="2318" width="8.3828125" style="260" customWidth="1"/>
    <col min="2319" max="2319" width="6.69140625" style="260" customWidth="1"/>
    <col min="2320" max="2321" width="7.53515625" style="260" customWidth="1"/>
    <col min="2322" max="2323" width="8.3828125" style="260" customWidth="1"/>
    <col min="2324" max="2324" width="6.69140625" style="260" customWidth="1"/>
    <col min="2325" max="2326" width="7.53515625" style="260" customWidth="1"/>
    <col min="2327" max="2328" width="8.3828125" style="260" customWidth="1"/>
    <col min="2329" max="2329" width="6.69140625" style="260" customWidth="1"/>
    <col min="2330" max="2330" width="7.53515625" style="260" customWidth="1"/>
    <col min="2331" max="2570" width="6.3046875" style="260"/>
    <col min="2571" max="2571" width="43.53515625" style="260" customWidth="1"/>
    <col min="2572" max="2572" width="7.53515625" style="260" customWidth="1"/>
    <col min="2573" max="2574" width="8.3828125" style="260" customWidth="1"/>
    <col min="2575" max="2575" width="6.69140625" style="260" customWidth="1"/>
    <col min="2576" max="2577" width="7.53515625" style="260" customWidth="1"/>
    <col min="2578" max="2579" width="8.3828125" style="260" customWidth="1"/>
    <col min="2580" max="2580" width="6.69140625" style="260" customWidth="1"/>
    <col min="2581" max="2582" width="7.53515625" style="260" customWidth="1"/>
    <col min="2583" max="2584" width="8.3828125" style="260" customWidth="1"/>
    <col min="2585" max="2585" width="6.69140625" style="260" customWidth="1"/>
    <col min="2586" max="2586" width="7.53515625" style="260" customWidth="1"/>
    <col min="2587" max="2826" width="6.3046875" style="260"/>
    <col min="2827" max="2827" width="43.53515625" style="260" customWidth="1"/>
    <col min="2828" max="2828" width="7.53515625" style="260" customWidth="1"/>
    <col min="2829" max="2830" width="8.3828125" style="260" customWidth="1"/>
    <col min="2831" max="2831" width="6.69140625" style="260" customWidth="1"/>
    <col min="2832" max="2833" width="7.53515625" style="260" customWidth="1"/>
    <col min="2834" max="2835" width="8.3828125" style="260" customWidth="1"/>
    <col min="2836" max="2836" width="6.69140625" style="260" customWidth="1"/>
    <col min="2837" max="2838" width="7.53515625" style="260" customWidth="1"/>
    <col min="2839" max="2840" width="8.3828125" style="260" customWidth="1"/>
    <col min="2841" max="2841" width="6.69140625" style="260" customWidth="1"/>
    <col min="2842" max="2842" width="7.53515625" style="260" customWidth="1"/>
    <col min="2843" max="3082" width="6.3046875" style="260"/>
    <col min="3083" max="3083" width="43.53515625" style="260" customWidth="1"/>
    <col min="3084" max="3084" width="7.53515625" style="260" customWidth="1"/>
    <col min="3085" max="3086" width="8.3828125" style="260" customWidth="1"/>
    <col min="3087" max="3087" width="6.69140625" style="260" customWidth="1"/>
    <col min="3088" max="3089" width="7.53515625" style="260" customWidth="1"/>
    <col min="3090" max="3091" width="8.3828125" style="260" customWidth="1"/>
    <col min="3092" max="3092" width="6.69140625" style="260" customWidth="1"/>
    <col min="3093" max="3094" width="7.53515625" style="260" customWidth="1"/>
    <col min="3095" max="3096" width="8.3828125" style="260" customWidth="1"/>
    <col min="3097" max="3097" width="6.69140625" style="260" customWidth="1"/>
    <col min="3098" max="3098" width="7.53515625" style="260" customWidth="1"/>
    <col min="3099" max="3338" width="6.3046875" style="260"/>
    <col min="3339" max="3339" width="43.53515625" style="260" customWidth="1"/>
    <col min="3340" max="3340" width="7.53515625" style="260" customWidth="1"/>
    <col min="3341" max="3342" width="8.3828125" style="260" customWidth="1"/>
    <col min="3343" max="3343" width="6.69140625" style="260" customWidth="1"/>
    <col min="3344" max="3345" width="7.53515625" style="260" customWidth="1"/>
    <col min="3346" max="3347" width="8.3828125" style="260" customWidth="1"/>
    <col min="3348" max="3348" width="6.69140625" style="260" customWidth="1"/>
    <col min="3349" max="3350" width="7.53515625" style="260" customWidth="1"/>
    <col min="3351" max="3352" width="8.3828125" style="260" customWidth="1"/>
    <col min="3353" max="3353" width="6.69140625" style="260" customWidth="1"/>
    <col min="3354" max="3354" width="7.53515625" style="260" customWidth="1"/>
    <col min="3355" max="3594" width="6.3046875" style="260"/>
    <col min="3595" max="3595" width="43.53515625" style="260" customWidth="1"/>
    <col min="3596" max="3596" width="7.53515625" style="260" customWidth="1"/>
    <col min="3597" max="3598" width="8.3828125" style="260" customWidth="1"/>
    <col min="3599" max="3599" width="6.69140625" style="260" customWidth="1"/>
    <col min="3600" max="3601" width="7.53515625" style="260" customWidth="1"/>
    <col min="3602" max="3603" width="8.3828125" style="260" customWidth="1"/>
    <col min="3604" max="3604" width="6.69140625" style="260" customWidth="1"/>
    <col min="3605" max="3606" width="7.53515625" style="260" customWidth="1"/>
    <col min="3607" max="3608" width="8.3828125" style="260" customWidth="1"/>
    <col min="3609" max="3609" width="6.69140625" style="260" customWidth="1"/>
    <col min="3610" max="3610" width="7.53515625" style="260" customWidth="1"/>
    <col min="3611" max="3850" width="6.3046875" style="260"/>
    <col min="3851" max="3851" width="43.53515625" style="260" customWidth="1"/>
    <col min="3852" max="3852" width="7.53515625" style="260" customWidth="1"/>
    <col min="3853" max="3854" width="8.3828125" style="260" customWidth="1"/>
    <col min="3855" max="3855" width="6.69140625" style="260" customWidth="1"/>
    <col min="3856" max="3857" width="7.53515625" style="260" customWidth="1"/>
    <col min="3858" max="3859" width="8.3828125" style="260" customWidth="1"/>
    <col min="3860" max="3860" width="6.69140625" style="260" customWidth="1"/>
    <col min="3861" max="3862" width="7.53515625" style="260" customWidth="1"/>
    <col min="3863" max="3864" width="8.3828125" style="260" customWidth="1"/>
    <col min="3865" max="3865" width="6.69140625" style="260" customWidth="1"/>
    <col min="3866" max="3866" width="7.53515625" style="260" customWidth="1"/>
    <col min="3867" max="4106" width="6.3046875" style="260"/>
    <col min="4107" max="4107" width="43.53515625" style="260" customWidth="1"/>
    <col min="4108" max="4108" width="7.53515625" style="260" customWidth="1"/>
    <col min="4109" max="4110" width="8.3828125" style="260" customWidth="1"/>
    <col min="4111" max="4111" width="6.69140625" style="260" customWidth="1"/>
    <col min="4112" max="4113" width="7.53515625" style="260" customWidth="1"/>
    <col min="4114" max="4115" width="8.3828125" style="260" customWidth="1"/>
    <col min="4116" max="4116" width="6.69140625" style="260" customWidth="1"/>
    <col min="4117" max="4118" width="7.53515625" style="260" customWidth="1"/>
    <col min="4119" max="4120" width="8.3828125" style="260" customWidth="1"/>
    <col min="4121" max="4121" width="6.69140625" style="260" customWidth="1"/>
    <col min="4122" max="4122" width="7.53515625" style="260" customWidth="1"/>
    <col min="4123" max="4362" width="6.3046875" style="260"/>
    <col min="4363" max="4363" width="43.53515625" style="260" customWidth="1"/>
    <col min="4364" max="4364" width="7.53515625" style="260" customWidth="1"/>
    <col min="4365" max="4366" width="8.3828125" style="260" customWidth="1"/>
    <col min="4367" max="4367" width="6.69140625" style="260" customWidth="1"/>
    <col min="4368" max="4369" width="7.53515625" style="260" customWidth="1"/>
    <col min="4370" max="4371" width="8.3828125" style="260" customWidth="1"/>
    <col min="4372" max="4372" width="6.69140625" style="260" customWidth="1"/>
    <col min="4373" max="4374" width="7.53515625" style="260" customWidth="1"/>
    <col min="4375" max="4376" width="8.3828125" style="260" customWidth="1"/>
    <col min="4377" max="4377" width="6.69140625" style="260" customWidth="1"/>
    <col min="4378" max="4378" width="7.53515625" style="260" customWidth="1"/>
    <col min="4379" max="4618" width="6.3046875" style="260"/>
    <col min="4619" max="4619" width="43.53515625" style="260" customWidth="1"/>
    <col min="4620" max="4620" width="7.53515625" style="260" customWidth="1"/>
    <col min="4621" max="4622" width="8.3828125" style="260" customWidth="1"/>
    <col min="4623" max="4623" width="6.69140625" style="260" customWidth="1"/>
    <col min="4624" max="4625" width="7.53515625" style="260" customWidth="1"/>
    <col min="4626" max="4627" width="8.3828125" style="260" customWidth="1"/>
    <col min="4628" max="4628" width="6.69140625" style="260" customWidth="1"/>
    <col min="4629" max="4630" width="7.53515625" style="260" customWidth="1"/>
    <col min="4631" max="4632" width="8.3828125" style="260" customWidth="1"/>
    <col min="4633" max="4633" width="6.69140625" style="260" customWidth="1"/>
    <col min="4634" max="4634" width="7.53515625" style="260" customWidth="1"/>
    <col min="4635" max="4874" width="6.3046875" style="260"/>
    <col min="4875" max="4875" width="43.53515625" style="260" customWidth="1"/>
    <col min="4876" max="4876" width="7.53515625" style="260" customWidth="1"/>
    <col min="4877" max="4878" width="8.3828125" style="260" customWidth="1"/>
    <col min="4879" max="4879" width="6.69140625" style="260" customWidth="1"/>
    <col min="4880" max="4881" width="7.53515625" style="260" customWidth="1"/>
    <col min="4882" max="4883" width="8.3828125" style="260" customWidth="1"/>
    <col min="4884" max="4884" width="6.69140625" style="260" customWidth="1"/>
    <col min="4885" max="4886" width="7.53515625" style="260" customWidth="1"/>
    <col min="4887" max="4888" width="8.3828125" style="260" customWidth="1"/>
    <col min="4889" max="4889" width="6.69140625" style="260" customWidth="1"/>
    <col min="4890" max="4890" width="7.53515625" style="260" customWidth="1"/>
    <col min="4891" max="5130" width="6.3046875" style="260"/>
    <col min="5131" max="5131" width="43.53515625" style="260" customWidth="1"/>
    <col min="5132" max="5132" width="7.53515625" style="260" customWidth="1"/>
    <col min="5133" max="5134" width="8.3828125" style="260" customWidth="1"/>
    <col min="5135" max="5135" width="6.69140625" style="260" customWidth="1"/>
    <col min="5136" max="5137" width="7.53515625" style="260" customWidth="1"/>
    <col min="5138" max="5139" width="8.3828125" style="260" customWidth="1"/>
    <col min="5140" max="5140" width="6.69140625" style="260" customWidth="1"/>
    <col min="5141" max="5142" width="7.53515625" style="260" customWidth="1"/>
    <col min="5143" max="5144" width="8.3828125" style="260" customWidth="1"/>
    <col min="5145" max="5145" width="6.69140625" style="260" customWidth="1"/>
    <col min="5146" max="5146" width="7.53515625" style="260" customWidth="1"/>
    <col min="5147" max="5386" width="6.3046875" style="260"/>
    <col min="5387" max="5387" width="43.53515625" style="260" customWidth="1"/>
    <col min="5388" max="5388" width="7.53515625" style="260" customWidth="1"/>
    <col min="5389" max="5390" width="8.3828125" style="260" customWidth="1"/>
    <col min="5391" max="5391" width="6.69140625" style="260" customWidth="1"/>
    <col min="5392" max="5393" width="7.53515625" style="260" customWidth="1"/>
    <col min="5394" max="5395" width="8.3828125" style="260" customWidth="1"/>
    <col min="5396" max="5396" width="6.69140625" style="260" customWidth="1"/>
    <col min="5397" max="5398" width="7.53515625" style="260" customWidth="1"/>
    <col min="5399" max="5400" width="8.3828125" style="260" customWidth="1"/>
    <col min="5401" max="5401" width="6.69140625" style="260" customWidth="1"/>
    <col min="5402" max="5402" width="7.53515625" style="260" customWidth="1"/>
    <col min="5403" max="5642" width="6.3046875" style="260"/>
    <col min="5643" max="5643" width="43.53515625" style="260" customWidth="1"/>
    <col min="5644" max="5644" width="7.53515625" style="260" customWidth="1"/>
    <col min="5645" max="5646" width="8.3828125" style="260" customWidth="1"/>
    <col min="5647" max="5647" width="6.69140625" style="260" customWidth="1"/>
    <col min="5648" max="5649" width="7.53515625" style="260" customWidth="1"/>
    <col min="5650" max="5651" width="8.3828125" style="260" customWidth="1"/>
    <col min="5652" max="5652" width="6.69140625" style="260" customWidth="1"/>
    <col min="5653" max="5654" width="7.53515625" style="260" customWidth="1"/>
    <col min="5655" max="5656" width="8.3828125" style="260" customWidth="1"/>
    <col min="5657" max="5657" width="6.69140625" style="260" customWidth="1"/>
    <col min="5658" max="5658" width="7.53515625" style="260" customWidth="1"/>
    <col min="5659" max="5898" width="6.3046875" style="260"/>
    <col min="5899" max="5899" width="43.53515625" style="260" customWidth="1"/>
    <col min="5900" max="5900" width="7.53515625" style="260" customWidth="1"/>
    <col min="5901" max="5902" width="8.3828125" style="260" customWidth="1"/>
    <col min="5903" max="5903" width="6.69140625" style="260" customWidth="1"/>
    <col min="5904" max="5905" width="7.53515625" style="260" customWidth="1"/>
    <col min="5906" max="5907" width="8.3828125" style="260" customWidth="1"/>
    <col min="5908" max="5908" width="6.69140625" style="260" customWidth="1"/>
    <col min="5909" max="5910" width="7.53515625" style="260" customWidth="1"/>
    <col min="5911" max="5912" width="8.3828125" style="260" customWidth="1"/>
    <col min="5913" max="5913" width="6.69140625" style="260" customWidth="1"/>
    <col min="5914" max="5914" width="7.53515625" style="260" customWidth="1"/>
    <col min="5915" max="6154" width="6.3046875" style="260"/>
    <col min="6155" max="6155" width="43.53515625" style="260" customWidth="1"/>
    <col min="6156" max="6156" width="7.53515625" style="260" customWidth="1"/>
    <col min="6157" max="6158" width="8.3828125" style="260" customWidth="1"/>
    <col min="6159" max="6159" width="6.69140625" style="260" customWidth="1"/>
    <col min="6160" max="6161" width="7.53515625" style="260" customWidth="1"/>
    <col min="6162" max="6163" width="8.3828125" style="260" customWidth="1"/>
    <col min="6164" max="6164" width="6.69140625" style="260" customWidth="1"/>
    <col min="6165" max="6166" width="7.53515625" style="260" customWidth="1"/>
    <col min="6167" max="6168" width="8.3828125" style="260" customWidth="1"/>
    <col min="6169" max="6169" width="6.69140625" style="260" customWidth="1"/>
    <col min="6170" max="6170" width="7.53515625" style="260" customWidth="1"/>
    <col min="6171" max="6410" width="6.3046875" style="260"/>
    <col min="6411" max="6411" width="43.53515625" style="260" customWidth="1"/>
    <col min="6412" max="6412" width="7.53515625" style="260" customWidth="1"/>
    <col min="6413" max="6414" width="8.3828125" style="260" customWidth="1"/>
    <col min="6415" max="6415" width="6.69140625" style="260" customWidth="1"/>
    <col min="6416" max="6417" width="7.53515625" style="260" customWidth="1"/>
    <col min="6418" max="6419" width="8.3828125" style="260" customWidth="1"/>
    <col min="6420" max="6420" width="6.69140625" style="260" customWidth="1"/>
    <col min="6421" max="6422" width="7.53515625" style="260" customWidth="1"/>
    <col min="6423" max="6424" width="8.3828125" style="260" customWidth="1"/>
    <col min="6425" max="6425" width="6.69140625" style="260" customWidth="1"/>
    <col min="6426" max="6426" width="7.53515625" style="260" customWidth="1"/>
    <col min="6427" max="6666" width="6.3046875" style="260"/>
    <col min="6667" max="6667" width="43.53515625" style="260" customWidth="1"/>
    <col min="6668" max="6668" width="7.53515625" style="260" customWidth="1"/>
    <col min="6669" max="6670" width="8.3828125" style="260" customWidth="1"/>
    <col min="6671" max="6671" width="6.69140625" style="260" customWidth="1"/>
    <col min="6672" max="6673" width="7.53515625" style="260" customWidth="1"/>
    <col min="6674" max="6675" width="8.3828125" style="260" customWidth="1"/>
    <col min="6676" max="6676" width="6.69140625" style="260" customWidth="1"/>
    <col min="6677" max="6678" width="7.53515625" style="260" customWidth="1"/>
    <col min="6679" max="6680" width="8.3828125" style="260" customWidth="1"/>
    <col min="6681" max="6681" width="6.69140625" style="260" customWidth="1"/>
    <col min="6682" max="6682" width="7.53515625" style="260" customWidth="1"/>
    <col min="6683" max="6922" width="6.3046875" style="260"/>
    <col min="6923" max="6923" width="43.53515625" style="260" customWidth="1"/>
    <col min="6924" max="6924" width="7.53515625" style="260" customWidth="1"/>
    <col min="6925" max="6926" width="8.3828125" style="260" customWidth="1"/>
    <col min="6927" max="6927" width="6.69140625" style="260" customWidth="1"/>
    <col min="6928" max="6929" width="7.53515625" style="260" customWidth="1"/>
    <col min="6930" max="6931" width="8.3828125" style="260" customWidth="1"/>
    <col min="6932" max="6932" width="6.69140625" style="260" customWidth="1"/>
    <col min="6933" max="6934" width="7.53515625" style="260" customWidth="1"/>
    <col min="6935" max="6936" width="8.3828125" style="260" customWidth="1"/>
    <col min="6937" max="6937" width="6.69140625" style="260" customWidth="1"/>
    <col min="6938" max="6938" width="7.53515625" style="260" customWidth="1"/>
    <col min="6939" max="7178" width="6.3046875" style="260"/>
    <col min="7179" max="7179" width="43.53515625" style="260" customWidth="1"/>
    <col min="7180" max="7180" width="7.53515625" style="260" customWidth="1"/>
    <col min="7181" max="7182" width="8.3828125" style="260" customWidth="1"/>
    <col min="7183" max="7183" width="6.69140625" style="260" customWidth="1"/>
    <col min="7184" max="7185" width="7.53515625" style="260" customWidth="1"/>
    <col min="7186" max="7187" width="8.3828125" style="260" customWidth="1"/>
    <col min="7188" max="7188" width="6.69140625" style="260" customWidth="1"/>
    <col min="7189" max="7190" width="7.53515625" style="260" customWidth="1"/>
    <col min="7191" max="7192" width="8.3828125" style="260" customWidth="1"/>
    <col min="7193" max="7193" width="6.69140625" style="260" customWidth="1"/>
    <col min="7194" max="7194" width="7.53515625" style="260" customWidth="1"/>
    <col min="7195" max="7434" width="6.3046875" style="260"/>
    <col min="7435" max="7435" width="43.53515625" style="260" customWidth="1"/>
    <col min="7436" max="7436" width="7.53515625" style="260" customWidth="1"/>
    <col min="7437" max="7438" width="8.3828125" style="260" customWidth="1"/>
    <col min="7439" max="7439" width="6.69140625" style="260" customWidth="1"/>
    <col min="7440" max="7441" width="7.53515625" style="260" customWidth="1"/>
    <col min="7442" max="7443" width="8.3828125" style="260" customWidth="1"/>
    <col min="7444" max="7444" width="6.69140625" style="260" customWidth="1"/>
    <col min="7445" max="7446" width="7.53515625" style="260" customWidth="1"/>
    <col min="7447" max="7448" width="8.3828125" style="260" customWidth="1"/>
    <col min="7449" max="7449" width="6.69140625" style="260" customWidth="1"/>
    <col min="7450" max="7450" width="7.53515625" style="260" customWidth="1"/>
    <col min="7451" max="7690" width="6.3046875" style="260"/>
    <col min="7691" max="7691" width="43.53515625" style="260" customWidth="1"/>
    <col min="7692" max="7692" width="7.53515625" style="260" customWidth="1"/>
    <col min="7693" max="7694" width="8.3828125" style="260" customWidth="1"/>
    <col min="7695" max="7695" width="6.69140625" style="260" customWidth="1"/>
    <col min="7696" max="7697" width="7.53515625" style="260" customWidth="1"/>
    <col min="7698" max="7699" width="8.3828125" style="260" customWidth="1"/>
    <col min="7700" max="7700" width="6.69140625" style="260" customWidth="1"/>
    <col min="7701" max="7702" width="7.53515625" style="260" customWidth="1"/>
    <col min="7703" max="7704" width="8.3828125" style="260" customWidth="1"/>
    <col min="7705" max="7705" width="6.69140625" style="260" customWidth="1"/>
    <col min="7706" max="7706" width="7.53515625" style="260" customWidth="1"/>
    <col min="7707" max="7946" width="6.3046875" style="260"/>
    <col min="7947" max="7947" width="43.53515625" style="260" customWidth="1"/>
    <col min="7948" max="7948" width="7.53515625" style="260" customWidth="1"/>
    <col min="7949" max="7950" width="8.3828125" style="260" customWidth="1"/>
    <col min="7951" max="7951" width="6.69140625" style="260" customWidth="1"/>
    <col min="7952" max="7953" width="7.53515625" style="260" customWidth="1"/>
    <col min="7954" max="7955" width="8.3828125" style="260" customWidth="1"/>
    <col min="7956" max="7956" width="6.69140625" style="260" customWidth="1"/>
    <col min="7957" max="7958" width="7.53515625" style="260" customWidth="1"/>
    <col min="7959" max="7960" width="8.3828125" style="260" customWidth="1"/>
    <col min="7961" max="7961" width="6.69140625" style="260" customWidth="1"/>
    <col min="7962" max="7962" width="7.53515625" style="260" customWidth="1"/>
    <col min="7963" max="8202" width="6.3046875" style="260"/>
    <col min="8203" max="8203" width="43.53515625" style="260" customWidth="1"/>
    <col min="8204" max="8204" width="7.53515625" style="260" customWidth="1"/>
    <col min="8205" max="8206" width="8.3828125" style="260" customWidth="1"/>
    <col min="8207" max="8207" width="6.69140625" style="260" customWidth="1"/>
    <col min="8208" max="8209" width="7.53515625" style="260" customWidth="1"/>
    <col min="8210" max="8211" width="8.3828125" style="260" customWidth="1"/>
    <col min="8212" max="8212" width="6.69140625" style="260" customWidth="1"/>
    <col min="8213" max="8214" width="7.53515625" style="260" customWidth="1"/>
    <col min="8215" max="8216" width="8.3828125" style="260" customWidth="1"/>
    <col min="8217" max="8217" width="6.69140625" style="260" customWidth="1"/>
    <col min="8218" max="8218" width="7.53515625" style="260" customWidth="1"/>
    <col min="8219" max="8458" width="6.3046875" style="260"/>
    <col min="8459" max="8459" width="43.53515625" style="260" customWidth="1"/>
    <col min="8460" max="8460" width="7.53515625" style="260" customWidth="1"/>
    <col min="8461" max="8462" width="8.3828125" style="260" customWidth="1"/>
    <col min="8463" max="8463" width="6.69140625" style="260" customWidth="1"/>
    <col min="8464" max="8465" width="7.53515625" style="260" customWidth="1"/>
    <col min="8466" max="8467" width="8.3828125" style="260" customWidth="1"/>
    <col min="8468" max="8468" width="6.69140625" style="260" customWidth="1"/>
    <col min="8469" max="8470" width="7.53515625" style="260" customWidth="1"/>
    <col min="8471" max="8472" width="8.3828125" style="260" customWidth="1"/>
    <col min="8473" max="8473" width="6.69140625" style="260" customWidth="1"/>
    <col min="8474" max="8474" width="7.53515625" style="260" customWidth="1"/>
    <col min="8475" max="8714" width="6.3046875" style="260"/>
    <col min="8715" max="8715" width="43.53515625" style="260" customWidth="1"/>
    <col min="8716" max="8716" width="7.53515625" style="260" customWidth="1"/>
    <col min="8717" max="8718" width="8.3828125" style="260" customWidth="1"/>
    <col min="8719" max="8719" width="6.69140625" style="260" customWidth="1"/>
    <col min="8720" max="8721" width="7.53515625" style="260" customWidth="1"/>
    <col min="8722" max="8723" width="8.3828125" style="260" customWidth="1"/>
    <col min="8724" max="8724" width="6.69140625" style="260" customWidth="1"/>
    <col min="8725" max="8726" width="7.53515625" style="260" customWidth="1"/>
    <col min="8727" max="8728" width="8.3828125" style="260" customWidth="1"/>
    <col min="8729" max="8729" width="6.69140625" style="260" customWidth="1"/>
    <col min="8730" max="8730" width="7.53515625" style="260" customWidth="1"/>
    <col min="8731" max="8970" width="6.3046875" style="260"/>
    <col min="8971" max="8971" width="43.53515625" style="260" customWidth="1"/>
    <col min="8972" max="8972" width="7.53515625" style="260" customWidth="1"/>
    <col min="8973" max="8974" width="8.3828125" style="260" customWidth="1"/>
    <col min="8975" max="8975" width="6.69140625" style="260" customWidth="1"/>
    <col min="8976" max="8977" width="7.53515625" style="260" customWidth="1"/>
    <col min="8978" max="8979" width="8.3828125" style="260" customWidth="1"/>
    <col min="8980" max="8980" width="6.69140625" style="260" customWidth="1"/>
    <col min="8981" max="8982" width="7.53515625" style="260" customWidth="1"/>
    <col min="8983" max="8984" width="8.3828125" style="260" customWidth="1"/>
    <col min="8985" max="8985" width="6.69140625" style="260" customWidth="1"/>
    <col min="8986" max="8986" width="7.53515625" style="260" customWidth="1"/>
    <col min="8987" max="9226" width="6.3046875" style="260"/>
    <col min="9227" max="9227" width="43.53515625" style="260" customWidth="1"/>
    <col min="9228" max="9228" width="7.53515625" style="260" customWidth="1"/>
    <col min="9229" max="9230" width="8.3828125" style="260" customWidth="1"/>
    <col min="9231" max="9231" width="6.69140625" style="260" customWidth="1"/>
    <col min="9232" max="9233" width="7.53515625" style="260" customWidth="1"/>
    <col min="9234" max="9235" width="8.3828125" style="260" customWidth="1"/>
    <col min="9236" max="9236" width="6.69140625" style="260" customWidth="1"/>
    <col min="9237" max="9238" width="7.53515625" style="260" customWidth="1"/>
    <col min="9239" max="9240" width="8.3828125" style="260" customWidth="1"/>
    <col min="9241" max="9241" width="6.69140625" style="260" customWidth="1"/>
    <col min="9242" max="9242" width="7.53515625" style="260" customWidth="1"/>
    <col min="9243" max="9482" width="6.3046875" style="260"/>
    <col min="9483" max="9483" width="43.53515625" style="260" customWidth="1"/>
    <col min="9484" max="9484" width="7.53515625" style="260" customWidth="1"/>
    <col min="9485" max="9486" width="8.3828125" style="260" customWidth="1"/>
    <col min="9487" max="9487" width="6.69140625" style="260" customWidth="1"/>
    <col min="9488" max="9489" width="7.53515625" style="260" customWidth="1"/>
    <col min="9490" max="9491" width="8.3828125" style="260" customWidth="1"/>
    <col min="9492" max="9492" width="6.69140625" style="260" customWidth="1"/>
    <col min="9493" max="9494" width="7.53515625" style="260" customWidth="1"/>
    <col min="9495" max="9496" width="8.3828125" style="260" customWidth="1"/>
    <col min="9497" max="9497" width="6.69140625" style="260" customWidth="1"/>
    <col min="9498" max="9498" width="7.53515625" style="260" customWidth="1"/>
    <col min="9499" max="9738" width="6.3046875" style="260"/>
    <col min="9739" max="9739" width="43.53515625" style="260" customWidth="1"/>
    <col min="9740" max="9740" width="7.53515625" style="260" customWidth="1"/>
    <col min="9741" max="9742" width="8.3828125" style="260" customWidth="1"/>
    <col min="9743" max="9743" width="6.69140625" style="260" customWidth="1"/>
    <col min="9744" max="9745" width="7.53515625" style="260" customWidth="1"/>
    <col min="9746" max="9747" width="8.3828125" style="260" customWidth="1"/>
    <col min="9748" max="9748" width="6.69140625" style="260" customWidth="1"/>
    <col min="9749" max="9750" width="7.53515625" style="260" customWidth="1"/>
    <col min="9751" max="9752" width="8.3828125" style="260" customWidth="1"/>
    <col min="9753" max="9753" width="6.69140625" style="260" customWidth="1"/>
    <col min="9754" max="9754" width="7.53515625" style="260" customWidth="1"/>
    <col min="9755" max="9994" width="6.3046875" style="260"/>
    <col min="9995" max="9995" width="43.53515625" style="260" customWidth="1"/>
    <col min="9996" max="9996" width="7.53515625" style="260" customWidth="1"/>
    <col min="9997" max="9998" width="8.3828125" style="260" customWidth="1"/>
    <col min="9999" max="9999" width="6.69140625" style="260" customWidth="1"/>
    <col min="10000" max="10001" width="7.53515625" style="260" customWidth="1"/>
    <col min="10002" max="10003" width="8.3828125" style="260" customWidth="1"/>
    <col min="10004" max="10004" width="6.69140625" style="260" customWidth="1"/>
    <col min="10005" max="10006" width="7.53515625" style="260" customWidth="1"/>
    <col min="10007" max="10008" width="8.3828125" style="260" customWidth="1"/>
    <col min="10009" max="10009" width="6.69140625" style="260" customWidth="1"/>
    <col min="10010" max="10010" width="7.53515625" style="260" customWidth="1"/>
    <col min="10011" max="10250" width="6.3046875" style="260"/>
    <col min="10251" max="10251" width="43.53515625" style="260" customWidth="1"/>
    <col min="10252" max="10252" width="7.53515625" style="260" customWidth="1"/>
    <col min="10253" max="10254" width="8.3828125" style="260" customWidth="1"/>
    <col min="10255" max="10255" width="6.69140625" style="260" customWidth="1"/>
    <col min="10256" max="10257" width="7.53515625" style="260" customWidth="1"/>
    <col min="10258" max="10259" width="8.3828125" style="260" customWidth="1"/>
    <col min="10260" max="10260" width="6.69140625" style="260" customWidth="1"/>
    <col min="10261" max="10262" width="7.53515625" style="260" customWidth="1"/>
    <col min="10263" max="10264" width="8.3828125" style="260" customWidth="1"/>
    <col min="10265" max="10265" width="6.69140625" style="260" customWidth="1"/>
    <col min="10266" max="10266" width="7.53515625" style="260" customWidth="1"/>
    <col min="10267" max="10506" width="6.3046875" style="260"/>
    <col min="10507" max="10507" width="43.53515625" style="260" customWidth="1"/>
    <col min="10508" max="10508" width="7.53515625" style="260" customWidth="1"/>
    <col min="10509" max="10510" width="8.3828125" style="260" customWidth="1"/>
    <col min="10511" max="10511" width="6.69140625" style="260" customWidth="1"/>
    <col min="10512" max="10513" width="7.53515625" style="260" customWidth="1"/>
    <col min="10514" max="10515" width="8.3828125" style="260" customWidth="1"/>
    <col min="10516" max="10516" width="6.69140625" style="260" customWidth="1"/>
    <col min="10517" max="10518" width="7.53515625" style="260" customWidth="1"/>
    <col min="10519" max="10520" width="8.3828125" style="260" customWidth="1"/>
    <col min="10521" max="10521" width="6.69140625" style="260" customWidth="1"/>
    <col min="10522" max="10522" width="7.53515625" style="260" customWidth="1"/>
    <col min="10523" max="10762" width="6.3046875" style="260"/>
    <col min="10763" max="10763" width="43.53515625" style="260" customWidth="1"/>
    <col min="10764" max="10764" width="7.53515625" style="260" customWidth="1"/>
    <col min="10765" max="10766" width="8.3828125" style="260" customWidth="1"/>
    <col min="10767" max="10767" width="6.69140625" style="260" customWidth="1"/>
    <col min="10768" max="10769" width="7.53515625" style="260" customWidth="1"/>
    <col min="10770" max="10771" width="8.3828125" style="260" customWidth="1"/>
    <col min="10772" max="10772" width="6.69140625" style="260" customWidth="1"/>
    <col min="10773" max="10774" width="7.53515625" style="260" customWidth="1"/>
    <col min="10775" max="10776" width="8.3828125" style="260" customWidth="1"/>
    <col min="10777" max="10777" width="6.69140625" style="260" customWidth="1"/>
    <col min="10778" max="10778" width="7.53515625" style="260" customWidth="1"/>
    <col min="10779" max="11018" width="6.3046875" style="260"/>
    <col min="11019" max="11019" width="43.53515625" style="260" customWidth="1"/>
    <col min="11020" max="11020" width="7.53515625" style="260" customWidth="1"/>
    <col min="11021" max="11022" width="8.3828125" style="260" customWidth="1"/>
    <col min="11023" max="11023" width="6.69140625" style="260" customWidth="1"/>
    <col min="11024" max="11025" width="7.53515625" style="260" customWidth="1"/>
    <col min="11026" max="11027" width="8.3828125" style="260" customWidth="1"/>
    <col min="11028" max="11028" width="6.69140625" style="260" customWidth="1"/>
    <col min="11029" max="11030" width="7.53515625" style="260" customWidth="1"/>
    <col min="11031" max="11032" width="8.3828125" style="260" customWidth="1"/>
    <col min="11033" max="11033" width="6.69140625" style="260" customWidth="1"/>
    <col min="11034" max="11034" width="7.53515625" style="260" customWidth="1"/>
    <col min="11035" max="11274" width="6.3046875" style="260"/>
    <col min="11275" max="11275" width="43.53515625" style="260" customWidth="1"/>
    <col min="11276" max="11276" width="7.53515625" style="260" customWidth="1"/>
    <col min="11277" max="11278" width="8.3828125" style="260" customWidth="1"/>
    <col min="11279" max="11279" width="6.69140625" style="260" customWidth="1"/>
    <col min="11280" max="11281" width="7.53515625" style="260" customWidth="1"/>
    <col min="11282" max="11283" width="8.3828125" style="260" customWidth="1"/>
    <col min="11284" max="11284" width="6.69140625" style="260" customWidth="1"/>
    <col min="11285" max="11286" width="7.53515625" style="260" customWidth="1"/>
    <col min="11287" max="11288" width="8.3828125" style="260" customWidth="1"/>
    <col min="11289" max="11289" width="6.69140625" style="260" customWidth="1"/>
    <col min="11290" max="11290" width="7.53515625" style="260" customWidth="1"/>
    <col min="11291" max="11530" width="6.3046875" style="260"/>
    <col min="11531" max="11531" width="43.53515625" style="260" customWidth="1"/>
    <col min="11532" max="11532" width="7.53515625" style="260" customWidth="1"/>
    <col min="11533" max="11534" width="8.3828125" style="260" customWidth="1"/>
    <col min="11535" max="11535" width="6.69140625" style="260" customWidth="1"/>
    <col min="11536" max="11537" width="7.53515625" style="260" customWidth="1"/>
    <col min="11538" max="11539" width="8.3828125" style="260" customWidth="1"/>
    <col min="11540" max="11540" width="6.69140625" style="260" customWidth="1"/>
    <col min="11541" max="11542" width="7.53515625" style="260" customWidth="1"/>
    <col min="11543" max="11544" width="8.3828125" style="260" customWidth="1"/>
    <col min="11545" max="11545" width="6.69140625" style="260" customWidth="1"/>
    <col min="11546" max="11546" width="7.53515625" style="260" customWidth="1"/>
    <col min="11547" max="11786" width="6.3046875" style="260"/>
    <col min="11787" max="11787" width="43.53515625" style="260" customWidth="1"/>
    <col min="11788" max="11788" width="7.53515625" style="260" customWidth="1"/>
    <col min="11789" max="11790" width="8.3828125" style="260" customWidth="1"/>
    <col min="11791" max="11791" width="6.69140625" style="260" customWidth="1"/>
    <col min="11792" max="11793" width="7.53515625" style="260" customWidth="1"/>
    <col min="11794" max="11795" width="8.3828125" style="260" customWidth="1"/>
    <col min="11796" max="11796" width="6.69140625" style="260" customWidth="1"/>
    <col min="11797" max="11798" width="7.53515625" style="260" customWidth="1"/>
    <col min="11799" max="11800" width="8.3828125" style="260" customWidth="1"/>
    <col min="11801" max="11801" width="6.69140625" style="260" customWidth="1"/>
    <col min="11802" max="11802" width="7.53515625" style="260" customWidth="1"/>
    <col min="11803" max="12042" width="6.3046875" style="260"/>
    <col min="12043" max="12043" width="43.53515625" style="260" customWidth="1"/>
    <col min="12044" max="12044" width="7.53515625" style="260" customWidth="1"/>
    <col min="12045" max="12046" width="8.3828125" style="260" customWidth="1"/>
    <col min="12047" max="12047" width="6.69140625" style="260" customWidth="1"/>
    <col min="12048" max="12049" width="7.53515625" style="260" customWidth="1"/>
    <col min="12050" max="12051" width="8.3828125" style="260" customWidth="1"/>
    <col min="12052" max="12052" width="6.69140625" style="260" customWidth="1"/>
    <col min="12053" max="12054" width="7.53515625" style="260" customWidth="1"/>
    <col min="12055" max="12056" width="8.3828125" style="260" customWidth="1"/>
    <col min="12057" max="12057" width="6.69140625" style="260" customWidth="1"/>
    <col min="12058" max="12058" width="7.53515625" style="260" customWidth="1"/>
    <col min="12059" max="12298" width="6.3046875" style="260"/>
    <col min="12299" max="12299" width="43.53515625" style="260" customWidth="1"/>
    <col min="12300" max="12300" width="7.53515625" style="260" customWidth="1"/>
    <col min="12301" max="12302" width="8.3828125" style="260" customWidth="1"/>
    <col min="12303" max="12303" width="6.69140625" style="260" customWidth="1"/>
    <col min="12304" max="12305" width="7.53515625" style="260" customWidth="1"/>
    <col min="12306" max="12307" width="8.3828125" style="260" customWidth="1"/>
    <col min="12308" max="12308" width="6.69140625" style="260" customWidth="1"/>
    <col min="12309" max="12310" width="7.53515625" style="260" customWidth="1"/>
    <col min="12311" max="12312" width="8.3828125" style="260" customWidth="1"/>
    <col min="12313" max="12313" width="6.69140625" style="260" customWidth="1"/>
    <col min="12314" max="12314" width="7.53515625" style="260" customWidth="1"/>
    <col min="12315" max="12554" width="6.3046875" style="260"/>
    <col min="12555" max="12555" width="43.53515625" style="260" customWidth="1"/>
    <col min="12556" max="12556" width="7.53515625" style="260" customWidth="1"/>
    <col min="12557" max="12558" width="8.3828125" style="260" customWidth="1"/>
    <col min="12559" max="12559" width="6.69140625" style="260" customWidth="1"/>
    <col min="12560" max="12561" width="7.53515625" style="260" customWidth="1"/>
    <col min="12562" max="12563" width="8.3828125" style="260" customWidth="1"/>
    <col min="12564" max="12564" width="6.69140625" style="260" customWidth="1"/>
    <col min="12565" max="12566" width="7.53515625" style="260" customWidth="1"/>
    <col min="12567" max="12568" width="8.3828125" style="260" customWidth="1"/>
    <col min="12569" max="12569" width="6.69140625" style="260" customWidth="1"/>
    <col min="12570" max="12570" width="7.53515625" style="260" customWidth="1"/>
    <col min="12571" max="12810" width="6.3046875" style="260"/>
    <col min="12811" max="12811" width="43.53515625" style="260" customWidth="1"/>
    <col min="12812" max="12812" width="7.53515625" style="260" customWidth="1"/>
    <col min="12813" max="12814" width="8.3828125" style="260" customWidth="1"/>
    <col min="12815" max="12815" width="6.69140625" style="260" customWidth="1"/>
    <col min="12816" max="12817" width="7.53515625" style="260" customWidth="1"/>
    <col min="12818" max="12819" width="8.3828125" style="260" customWidth="1"/>
    <col min="12820" max="12820" width="6.69140625" style="260" customWidth="1"/>
    <col min="12821" max="12822" width="7.53515625" style="260" customWidth="1"/>
    <col min="12823" max="12824" width="8.3828125" style="260" customWidth="1"/>
    <col min="12825" max="12825" width="6.69140625" style="260" customWidth="1"/>
    <col min="12826" max="12826" width="7.53515625" style="260" customWidth="1"/>
    <col min="12827" max="13066" width="6.3046875" style="260"/>
    <col min="13067" max="13067" width="43.53515625" style="260" customWidth="1"/>
    <col min="13068" max="13068" width="7.53515625" style="260" customWidth="1"/>
    <col min="13069" max="13070" width="8.3828125" style="260" customWidth="1"/>
    <col min="13071" max="13071" width="6.69140625" style="260" customWidth="1"/>
    <col min="13072" max="13073" width="7.53515625" style="260" customWidth="1"/>
    <col min="13074" max="13075" width="8.3828125" style="260" customWidth="1"/>
    <col min="13076" max="13076" width="6.69140625" style="260" customWidth="1"/>
    <col min="13077" max="13078" width="7.53515625" style="260" customWidth="1"/>
    <col min="13079" max="13080" width="8.3828125" style="260" customWidth="1"/>
    <col min="13081" max="13081" width="6.69140625" style="260" customWidth="1"/>
    <col min="13082" max="13082" width="7.53515625" style="260" customWidth="1"/>
    <col min="13083" max="13322" width="6.3046875" style="260"/>
    <col min="13323" max="13323" width="43.53515625" style="260" customWidth="1"/>
    <col min="13324" max="13324" width="7.53515625" style="260" customWidth="1"/>
    <col min="13325" max="13326" width="8.3828125" style="260" customWidth="1"/>
    <col min="13327" max="13327" width="6.69140625" style="260" customWidth="1"/>
    <col min="13328" max="13329" width="7.53515625" style="260" customWidth="1"/>
    <col min="13330" max="13331" width="8.3828125" style="260" customWidth="1"/>
    <col min="13332" max="13332" width="6.69140625" style="260" customWidth="1"/>
    <col min="13333" max="13334" width="7.53515625" style="260" customWidth="1"/>
    <col min="13335" max="13336" width="8.3828125" style="260" customWidth="1"/>
    <col min="13337" max="13337" width="6.69140625" style="260" customWidth="1"/>
    <col min="13338" max="13338" width="7.53515625" style="260" customWidth="1"/>
    <col min="13339" max="13578" width="6.3046875" style="260"/>
    <col min="13579" max="13579" width="43.53515625" style="260" customWidth="1"/>
    <col min="13580" max="13580" width="7.53515625" style="260" customWidth="1"/>
    <col min="13581" max="13582" width="8.3828125" style="260" customWidth="1"/>
    <col min="13583" max="13583" width="6.69140625" style="260" customWidth="1"/>
    <col min="13584" max="13585" width="7.53515625" style="260" customWidth="1"/>
    <col min="13586" max="13587" width="8.3828125" style="260" customWidth="1"/>
    <col min="13588" max="13588" width="6.69140625" style="260" customWidth="1"/>
    <col min="13589" max="13590" width="7.53515625" style="260" customWidth="1"/>
    <col min="13591" max="13592" width="8.3828125" style="260" customWidth="1"/>
    <col min="13593" max="13593" width="6.69140625" style="260" customWidth="1"/>
    <col min="13594" max="13594" width="7.53515625" style="260" customWidth="1"/>
    <col min="13595" max="13834" width="6.3046875" style="260"/>
    <col min="13835" max="13835" width="43.53515625" style="260" customWidth="1"/>
    <col min="13836" max="13836" width="7.53515625" style="260" customWidth="1"/>
    <col min="13837" max="13838" width="8.3828125" style="260" customWidth="1"/>
    <col min="13839" max="13839" width="6.69140625" style="260" customWidth="1"/>
    <col min="13840" max="13841" width="7.53515625" style="260" customWidth="1"/>
    <col min="13842" max="13843" width="8.3828125" style="260" customWidth="1"/>
    <col min="13844" max="13844" width="6.69140625" style="260" customWidth="1"/>
    <col min="13845" max="13846" width="7.53515625" style="260" customWidth="1"/>
    <col min="13847" max="13848" width="8.3828125" style="260" customWidth="1"/>
    <col min="13849" max="13849" width="6.69140625" style="260" customWidth="1"/>
    <col min="13850" max="13850" width="7.53515625" style="260" customWidth="1"/>
    <col min="13851" max="14090" width="6.3046875" style="260"/>
    <col min="14091" max="14091" width="43.53515625" style="260" customWidth="1"/>
    <col min="14092" max="14092" width="7.53515625" style="260" customWidth="1"/>
    <col min="14093" max="14094" width="8.3828125" style="260" customWidth="1"/>
    <col min="14095" max="14095" width="6.69140625" style="260" customWidth="1"/>
    <col min="14096" max="14097" width="7.53515625" style="260" customWidth="1"/>
    <col min="14098" max="14099" width="8.3828125" style="260" customWidth="1"/>
    <col min="14100" max="14100" width="6.69140625" style="260" customWidth="1"/>
    <col min="14101" max="14102" width="7.53515625" style="260" customWidth="1"/>
    <col min="14103" max="14104" width="8.3828125" style="260" customWidth="1"/>
    <col min="14105" max="14105" width="6.69140625" style="260" customWidth="1"/>
    <col min="14106" max="14106" width="7.53515625" style="260" customWidth="1"/>
    <col min="14107" max="14346" width="6.3046875" style="260"/>
    <col min="14347" max="14347" width="43.53515625" style="260" customWidth="1"/>
    <col min="14348" max="14348" width="7.53515625" style="260" customWidth="1"/>
    <col min="14349" max="14350" width="8.3828125" style="260" customWidth="1"/>
    <col min="14351" max="14351" width="6.69140625" style="260" customWidth="1"/>
    <col min="14352" max="14353" width="7.53515625" style="260" customWidth="1"/>
    <col min="14354" max="14355" width="8.3828125" style="260" customWidth="1"/>
    <col min="14356" max="14356" width="6.69140625" style="260" customWidth="1"/>
    <col min="14357" max="14358" width="7.53515625" style="260" customWidth="1"/>
    <col min="14359" max="14360" width="8.3828125" style="260" customWidth="1"/>
    <col min="14361" max="14361" width="6.69140625" style="260" customWidth="1"/>
    <col min="14362" max="14362" width="7.53515625" style="260" customWidth="1"/>
    <col min="14363" max="14602" width="6.3046875" style="260"/>
    <col min="14603" max="14603" width="43.53515625" style="260" customWidth="1"/>
    <col min="14604" max="14604" width="7.53515625" style="260" customWidth="1"/>
    <col min="14605" max="14606" width="8.3828125" style="260" customWidth="1"/>
    <col min="14607" max="14607" width="6.69140625" style="260" customWidth="1"/>
    <col min="14608" max="14609" width="7.53515625" style="260" customWidth="1"/>
    <col min="14610" max="14611" width="8.3828125" style="260" customWidth="1"/>
    <col min="14612" max="14612" width="6.69140625" style="260" customWidth="1"/>
    <col min="14613" max="14614" width="7.53515625" style="260" customWidth="1"/>
    <col min="14615" max="14616" width="8.3828125" style="260" customWidth="1"/>
    <col min="14617" max="14617" width="6.69140625" style="260" customWidth="1"/>
    <col min="14618" max="14618" width="7.53515625" style="260" customWidth="1"/>
    <col min="14619" max="14858" width="6.3046875" style="260"/>
    <col min="14859" max="14859" width="43.53515625" style="260" customWidth="1"/>
    <col min="14860" max="14860" width="7.53515625" style="260" customWidth="1"/>
    <col min="14861" max="14862" width="8.3828125" style="260" customWidth="1"/>
    <col min="14863" max="14863" width="6.69140625" style="260" customWidth="1"/>
    <col min="14864" max="14865" width="7.53515625" style="260" customWidth="1"/>
    <col min="14866" max="14867" width="8.3828125" style="260" customWidth="1"/>
    <col min="14868" max="14868" width="6.69140625" style="260" customWidth="1"/>
    <col min="14869" max="14870" width="7.53515625" style="260" customWidth="1"/>
    <col min="14871" max="14872" width="8.3828125" style="260" customWidth="1"/>
    <col min="14873" max="14873" width="6.69140625" style="260" customWidth="1"/>
    <col min="14874" max="14874" width="7.53515625" style="260" customWidth="1"/>
    <col min="14875" max="15114" width="6.3046875" style="260"/>
    <col min="15115" max="15115" width="43.53515625" style="260" customWidth="1"/>
    <col min="15116" max="15116" width="7.53515625" style="260" customWidth="1"/>
    <col min="15117" max="15118" width="8.3828125" style="260" customWidth="1"/>
    <col min="15119" max="15119" width="6.69140625" style="260" customWidth="1"/>
    <col min="15120" max="15121" width="7.53515625" style="260" customWidth="1"/>
    <col min="15122" max="15123" width="8.3828125" style="260" customWidth="1"/>
    <col min="15124" max="15124" width="6.69140625" style="260" customWidth="1"/>
    <col min="15125" max="15126" width="7.53515625" style="260" customWidth="1"/>
    <col min="15127" max="15128" width="8.3828125" style="260" customWidth="1"/>
    <col min="15129" max="15129" width="6.69140625" style="260" customWidth="1"/>
    <col min="15130" max="15130" width="7.53515625" style="260" customWidth="1"/>
    <col min="15131" max="15370" width="6.3046875" style="260"/>
    <col min="15371" max="15371" width="43.53515625" style="260" customWidth="1"/>
    <col min="15372" max="15372" width="7.53515625" style="260" customWidth="1"/>
    <col min="15373" max="15374" width="8.3828125" style="260" customWidth="1"/>
    <col min="15375" max="15375" width="6.69140625" style="260" customWidth="1"/>
    <col min="15376" max="15377" width="7.53515625" style="260" customWidth="1"/>
    <col min="15378" max="15379" width="8.3828125" style="260" customWidth="1"/>
    <col min="15380" max="15380" width="6.69140625" style="260" customWidth="1"/>
    <col min="15381" max="15382" width="7.53515625" style="260" customWidth="1"/>
    <col min="15383" max="15384" width="8.3828125" style="260" customWidth="1"/>
    <col min="15385" max="15385" width="6.69140625" style="260" customWidth="1"/>
    <col min="15386" max="15386" width="7.53515625" style="260" customWidth="1"/>
    <col min="15387" max="15626" width="6.3046875" style="260"/>
    <col min="15627" max="15627" width="43.53515625" style="260" customWidth="1"/>
    <col min="15628" max="15628" width="7.53515625" style="260" customWidth="1"/>
    <col min="15629" max="15630" width="8.3828125" style="260" customWidth="1"/>
    <col min="15631" max="15631" width="6.69140625" style="260" customWidth="1"/>
    <col min="15632" max="15633" width="7.53515625" style="260" customWidth="1"/>
    <col min="15634" max="15635" width="8.3828125" style="260" customWidth="1"/>
    <col min="15636" max="15636" width="6.69140625" style="260" customWidth="1"/>
    <col min="15637" max="15638" width="7.53515625" style="260" customWidth="1"/>
    <col min="15639" max="15640" width="8.3828125" style="260" customWidth="1"/>
    <col min="15641" max="15641" width="6.69140625" style="260" customWidth="1"/>
    <col min="15642" max="15642" width="7.53515625" style="260" customWidth="1"/>
    <col min="15643" max="15882" width="6.3046875" style="260"/>
    <col min="15883" max="15883" width="43.53515625" style="260" customWidth="1"/>
    <col min="15884" max="15884" width="7.53515625" style="260" customWidth="1"/>
    <col min="15885" max="15886" width="8.3828125" style="260" customWidth="1"/>
    <col min="15887" max="15887" width="6.69140625" style="260" customWidth="1"/>
    <col min="15888" max="15889" width="7.53515625" style="260" customWidth="1"/>
    <col min="15890" max="15891" width="8.3828125" style="260" customWidth="1"/>
    <col min="15892" max="15892" width="6.69140625" style="260" customWidth="1"/>
    <col min="15893" max="15894" width="7.53515625" style="260" customWidth="1"/>
    <col min="15895" max="15896" width="8.3828125" style="260" customWidth="1"/>
    <col min="15897" max="15897" width="6.69140625" style="260" customWidth="1"/>
    <col min="15898" max="15898" width="7.53515625" style="260" customWidth="1"/>
    <col min="15899" max="16138" width="6.3046875" style="260"/>
    <col min="16139" max="16139" width="43.53515625" style="260" customWidth="1"/>
    <col min="16140" max="16140" width="7.53515625" style="260" customWidth="1"/>
    <col min="16141" max="16142" width="8.3828125" style="260" customWidth="1"/>
    <col min="16143" max="16143" width="6.69140625" style="260" customWidth="1"/>
    <col min="16144" max="16145" width="7.53515625" style="260" customWidth="1"/>
    <col min="16146" max="16147" width="8.3828125" style="260" customWidth="1"/>
    <col min="16148" max="16148" width="6.69140625" style="260" customWidth="1"/>
    <col min="16149" max="16150" width="7.53515625" style="260" customWidth="1"/>
    <col min="16151" max="16152" width="8.3828125" style="260" customWidth="1"/>
    <col min="16153" max="16153" width="6.69140625" style="260" customWidth="1"/>
    <col min="16154" max="16154" width="7.53515625" style="260" customWidth="1"/>
    <col min="16155" max="16384" width="6.3046875" style="260"/>
  </cols>
  <sheetData>
    <row r="1" spans="1:25" ht="15.45" x14ac:dyDescent="0.4">
      <c r="A1" s="18" t="str">
        <f>CONCATENATE("Industry Table 6  Employment status by Industry (SIC 2007) and Gender, ",B$5,"-",V$5,", ",Info!B5)</f>
        <v>Industry Table 6  Employment status by Industry (SIC 2007) and Gender, 2015-2035, England</v>
      </c>
    </row>
    <row r="2" spans="1:25" x14ac:dyDescent="0.35">
      <c r="A2" s="1" t="s">
        <v>531</v>
      </c>
    </row>
    <row r="4" spans="1:25" x14ac:dyDescent="0.35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4.15" x14ac:dyDescent="0.35">
      <c r="A5" s="265" t="str">
        <f>"Industry 1 : "&amp; name!B4</f>
        <v>Industry 1 : Agriculture</v>
      </c>
      <c r="B5" s="372">
        <v>2015</v>
      </c>
      <c r="C5" s="372"/>
      <c r="D5" s="372"/>
      <c r="E5" s="372"/>
      <c r="F5" s="317"/>
      <c r="G5" s="372">
        <v>2019</v>
      </c>
      <c r="H5" s="372"/>
      <c r="I5" s="372"/>
      <c r="J5" s="372"/>
      <c r="K5" s="318"/>
      <c r="L5" s="372">
        <v>2020</v>
      </c>
      <c r="M5" s="372"/>
      <c r="N5" s="372"/>
      <c r="O5" s="372"/>
      <c r="P5" s="318"/>
      <c r="Q5" s="372">
        <v>2025</v>
      </c>
      <c r="R5" s="372"/>
      <c r="S5" s="372"/>
      <c r="T5" s="372"/>
      <c r="U5" s="317"/>
      <c r="V5" s="372">
        <v>2035</v>
      </c>
      <c r="W5" s="372"/>
      <c r="X5" s="372"/>
      <c r="Y5" s="372"/>
    </row>
    <row r="6" spans="1:25" ht="12.4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ht="12.4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45" x14ac:dyDescent="0.3">
      <c r="A8" s="261" t="str">
        <f>name!A4</f>
        <v>Agriculture, etc</v>
      </c>
      <c r="C8" s="263"/>
    </row>
    <row r="9" spans="1:25" ht="12.45" x14ac:dyDescent="0.3">
      <c r="A9" s="260" t="s">
        <v>356</v>
      </c>
      <c r="B9" s="300">
        <v>28.683999999867748</v>
      </c>
      <c r="C9" s="300">
        <v>19.305000000163119</v>
      </c>
      <c r="D9" s="300">
        <v>22.454000000615615</v>
      </c>
      <c r="E9" s="300">
        <f>SUM(B9:D9)</f>
        <v>70.443000000646492</v>
      </c>
      <c r="F9" s="300"/>
      <c r="G9" s="300">
        <v>25.933999999830029</v>
      </c>
      <c r="H9" s="300">
        <v>24.861000000245387</v>
      </c>
      <c r="I9" s="300">
        <v>31.050000000944397</v>
      </c>
      <c r="J9" s="300">
        <f>SUM(G9:I9)</f>
        <v>81.845000001019812</v>
      </c>
      <c r="K9" s="300"/>
      <c r="L9" s="300">
        <v>31.874999999840174</v>
      </c>
      <c r="M9" s="300">
        <v>17.175000000152529</v>
      </c>
      <c r="N9" s="300">
        <v>25.508999999632159</v>
      </c>
      <c r="O9" s="300">
        <f>SUM(L9:N9)</f>
        <v>74.558999999624859</v>
      </c>
      <c r="P9" s="300"/>
      <c r="Q9" s="300">
        <v>32.579000000676281</v>
      </c>
      <c r="R9" s="300">
        <v>17.140000000310799</v>
      </c>
      <c r="S9" s="300">
        <v>26.617000000129146</v>
      </c>
      <c r="T9" s="300">
        <f>SUM(Q9:S9)</f>
        <v>76.336000001116219</v>
      </c>
      <c r="U9" s="300"/>
      <c r="V9" s="300">
        <v>32.206000000034386</v>
      </c>
      <c r="W9" s="300">
        <v>15.853999999921012</v>
      </c>
      <c r="X9" s="300">
        <v>27.554999999739444</v>
      </c>
      <c r="Y9" s="300">
        <f>SUM(V9:X9)</f>
        <v>75.614999999694845</v>
      </c>
    </row>
    <row r="10" spans="1:25" ht="12.45" x14ac:dyDescent="0.3">
      <c r="A10" s="260" t="s">
        <v>355</v>
      </c>
      <c r="B10" s="300">
        <v>98.118000000052646</v>
      </c>
      <c r="C10" s="300">
        <v>14.097000000069837</v>
      </c>
      <c r="D10" s="300">
        <v>80.006000000108273</v>
      </c>
      <c r="E10" s="300">
        <f t="shared" ref="E10:E11" si="0">SUM(B10:D10)</f>
        <v>192.22100000023076</v>
      </c>
      <c r="F10" s="300"/>
      <c r="G10" s="300">
        <v>86.367000000074029</v>
      </c>
      <c r="H10" s="300">
        <v>8.6590000000321776</v>
      </c>
      <c r="I10" s="300">
        <v>93.530000000741921</v>
      </c>
      <c r="J10" s="300">
        <f t="shared" ref="J10:J11" si="1">SUM(G10:I10)</f>
        <v>188.55600000084814</v>
      </c>
      <c r="K10" s="300"/>
      <c r="L10" s="300">
        <v>90.717000000278972</v>
      </c>
      <c r="M10" s="300">
        <v>9.2500000000291429</v>
      </c>
      <c r="N10" s="300">
        <v>65.167999998821486</v>
      </c>
      <c r="O10" s="300">
        <f t="shared" ref="O10:O11" si="2">SUM(L10:N10)</f>
        <v>165.1349999991296</v>
      </c>
      <c r="P10" s="300"/>
      <c r="Q10" s="300">
        <v>95.909000000564959</v>
      </c>
      <c r="R10" s="300">
        <v>9.5390000000027833</v>
      </c>
      <c r="S10" s="300">
        <v>65.11399999709289</v>
      </c>
      <c r="T10" s="300">
        <f t="shared" ref="T10:T11" si="3">SUM(Q10:S10)</f>
        <v>170.56199999766062</v>
      </c>
      <c r="U10" s="300"/>
      <c r="V10" s="300">
        <v>102.94100000056638</v>
      </c>
      <c r="W10" s="300">
        <v>9.5960000000044534</v>
      </c>
      <c r="X10" s="300">
        <v>60.99699999782495</v>
      </c>
      <c r="Y10" s="300">
        <f t="shared" ref="Y10:Y11" si="4">SUM(V10:X10)</f>
        <v>173.53399999839579</v>
      </c>
    </row>
    <row r="11" spans="1:25" ht="12.45" x14ac:dyDescent="0.3">
      <c r="A11" s="264" t="s">
        <v>354</v>
      </c>
      <c r="B11" s="301">
        <f>SUM(B9:B10)</f>
        <v>126.8019999999204</v>
      </c>
      <c r="C11" s="301">
        <f t="shared" ref="C11:D11" si="5">SUM(C9:C10)</f>
        <v>33.40200000023296</v>
      </c>
      <c r="D11" s="301">
        <f t="shared" si="5"/>
        <v>102.46000000072388</v>
      </c>
      <c r="E11" s="301">
        <f t="shared" si="0"/>
        <v>262.66400000087725</v>
      </c>
      <c r="F11" s="301"/>
      <c r="G11" s="301">
        <f>SUM(G9:G10)</f>
        <v>112.30099999990406</v>
      </c>
      <c r="H11" s="301">
        <f t="shared" ref="H11" si="6">SUM(H9:H10)</f>
        <v>33.520000000277562</v>
      </c>
      <c r="I11" s="301">
        <f t="shared" ref="I11" si="7">SUM(I9:I10)</f>
        <v>124.58000000168632</v>
      </c>
      <c r="J11" s="301">
        <f t="shared" si="1"/>
        <v>270.40100000186794</v>
      </c>
      <c r="K11" s="301"/>
      <c r="L11" s="301">
        <f>SUM(L9:L10)</f>
        <v>122.59200000011914</v>
      </c>
      <c r="M11" s="301">
        <f t="shared" ref="M11" si="8">SUM(M9:M10)</f>
        <v>26.425000000181672</v>
      </c>
      <c r="N11" s="301">
        <f t="shared" ref="N11" si="9">SUM(N9:N10)</f>
        <v>90.676999998453653</v>
      </c>
      <c r="O11" s="301">
        <f t="shared" si="2"/>
        <v>239.69399999875446</v>
      </c>
      <c r="P11" s="301"/>
      <c r="Q11" s="301">
        <f>SUM(Q9:Q10)</f>
        <v>128.48800000124123</v>
      </c>
      <c r="R11" s="301">
        <f t="shared" ref="R11" si="10">SUM(R9:R10)</f>
        <v>26.679000000313582</v>
      </c>
      <c r="S11" s="301">
        <f t="shared" ref="S11" si="11">SUM(S9:S10)</f>
        <v>91.730999997222028</v>
      </c>
      <c r="T11" s="301">
        <f t="shared" si="3"/>
        <v>246.89799999877684</v>
      </c>
      <c r="U11" s="301"/>
      <c r="V11" s="301">
        <f>SUM(V9:V10)</f>
        <v>135.14700000060077</v>
      </c>
      <c r="W11" s="301">
        <f t="shared" ref="W11" si="12">SUM(W9:W10)</f>
        <v>25.449999999925467</v>
      </c>
      <c r="X11" s="301">
        <f t="shared" ref="X11" si="13">SUM(X9:X10)</f>
        <v>88.551999997564394</v>
      </c>
      <c r="Y11" s="301">
        <f t="shared" si="4"/>
        <v>249.14899999809063</v>
      </c>
    </row>
    <row r="13" spans="1:25" x14ac:dyDescent="0.35">
      <c r="A13" s="261"/>
    </row>
    <row r="14" spans="1:25" ht="12.45" x14ac:dyDescent="0.3">
      <c r="C14" s="263"/>
    </row>
    <row r="15" spans="1:25" ht="14.15" x14ac:dyDescent="0.35">
      <c r="A15" s="265" t="str">
        <f>"Industry 2 : "&amp; name!B5</f>
        <v>Industry 2 : Mining and quarrying</v>
      </c>
      <c r="B15" s="372">
        <f>$B$5</f>
        <v>2015</v>
      </c>
      <c r="C15" s="372"/>
      <c r="D15" s="372"/>
      <c r="E15" s="372"/>
      <c r="F15" s="320"/>
      <c r="G15" s="372">
        <f>$G$5</f>
        <v>2019</v>
      </c>
      <c r="H15" s="372"/>
      <c r="I15" s="372"/>
      <c r="J15" s="372"/>
      <c r="K15" s="320"/>
      <c r="L15" s="372">
        <f>$L$5</f>
        <v>2020</v>
      </c>
      <c r="M15" s="372"/>
      <c r="N15" s="372"/>
      <c r="O15" s="372"/>
      <c r="P15" s="318"/>
      <c r="Q15" s="372">
        <f>$Q$5</f>
        <v>2025</v>
      </c>
      <c r="R15" s="372"/>
      <c r="S15" s="372"/>
      <c r="T15" s="372"/>
      <c r="U15" s="320"/>
      <c r="V15" s="372">
        <f>$V$5</f>
        <v>2035</v>
      </c>
      <c r="W15" s="372"/>
      <c r="X15" s="372"/>
      <c r="Y15" s="372"/>
    </row>
    <row r="16" spans="1:25" ht="12.45" x14ac:dyDescent="0.3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ht="12.45" x14ac:dyDescent="0.3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ht="12.45" x14ac:dyDescent="0.3">
      <c r="A18" s="261" t="str">
        <f>name!A5</f>
        <v>Coal, oil &amp; gas; Mining &amp; related</v>
      </c>
      <c r="C18" s="263"/>
    </row>
    <row r="19" spans="1:25" ht="12.45" x14ac:dyDescent="0.3">
      <c r="A19" s="260" t="s">
        <v>356</v>
      </c>
      <c r="B19" s="300">
        <v>2.7269999999808214</v>
      </c>
      <c r="C19" s="300">
        <v>0.68099999999736083</v>
      </c>
      <c r="D19" s="300">
        <v>0.84000000000080055</v>
      </c>
      <c r="E19" s="300">
        <f>SUM(B19:D19)</f>
        <v>4.2479999999789833</v>
      </c>
      <c r="F19" s="300"/>
      <c r="G19" s="300">
        <v>2.9149999999788858</v>
      </c>
      <c r="H19" s="300">
        <v>0.7290000000003336</v>
      </c>
      <c r="I19" s="300">
        <v>1.2370000000088066</v>
      </c>
      <c r="J19" s="300">
        <f>SUM(G19:I19)</f>
        <v>4.8809999999880258</v>
      </c>
      <c r="K19" s="300"/>
      <c r="L19" s="300">
        <v>3.025999999985137</v>
      </c>
      <c r="M19" s="300">
        <v>0.67599999999921123</v>
      </c>
      <c r="N19" s="300">
        <v>0</v>
      </c>
      <c r="O19" s="300">
        <f>SUM(L19:N19)</f>
        <v>3.7019999999843485</v>
      </c>
      <c r="P19" s="300"/>
      <c r="Q19" s="300">
        <v>2.4200000000249813</v>
      </c>
      <c r="R19" s="300">
        <v>0.55399999999970018</v>
      </c>
      <c r="S19" s="300">
        <v>0</v>
      </c>
      <c r="T19" s="300">
        <f>SUM(Q19:S19)</f>
        <v>2.9740000000246813</v>
      </c>
      <c r="U19" s="300"/>
      <c r="V19" s="300">
        <v>1.7370000000051506</v>
      </c>
      <c r="W19" s="300">
        <v>0.43500000000030237</v>
      </c>
      <c r="X19" s="300">
        <v>0</v>
      </c>
      <c r="Y19" s="300">
        <f>SUM(V19:X19)</f>
        <v>2.1720000000054531</v>
      </c>
    </row>
    <row r="20" spans="1:25" ht="12.45" x14ac:dyDescent="0.3">
      <c r="A20" s="260" t="s">
        <v>355</v>
      </c>
      <c r="B20" s="300">
        <v>20.123999999900494</v>
      </c>
      <c r="C20" s="300">
        <v>0.75000000000112754</v>
      </c>
      <c r="D20" s="300">
        <v>5.2729999999771673</v>
      </c>
      <c r="E20" s="300">
        <f t="shared" ref="E20:E21" si="14">SUM(B20:D20)</f>
        <v>26.146999999878787</v>
      </c>
      <c r="F20" s="300"/>
      <c r="G20" s="300">
        <v>17.256999999978632</v>
      </c>
      <c r="H20" s="300">
        <v>0.48699999999928389</v>
      </c>
      <c r="I20" s="300">
        <v>1.3490000000113758</v>
      </c>
      <c r="J20" s="300">
        <f t="shared" ref="J20:J21" si="15">SUM(G20:I20)</f>
        <v>19.092999999989292</v>
      </c>
      <c r="K20" s="300"/>
      <c r="L20" s="300">
        <v>18.187000000024771</v>
      </c>
      <c r="M20" s="300">
        <v>0.72700000000191345</v>
      </c>
      <c r="N20" s="300">
        <v>1.8899999999868433</v>
      </c>
      <c r="O20" s="300">
        <f t="shared" ref="O20:O21" si="16">SUM(L20:N20)</f>
        <v>20.804000000013527</v>
      </c>
      <c r="P20" s="300"/>
      <c r="Q20" s="300">
        <v>14.581000000064551</v>
      </c>
      <c r="R20" s="300">
        <v>0.61600000000257349</v>
      </c>
      <c r="S20" s="300">
        <v>1.5769999999702691</v>
      </c>
      <c r="T20" s="300">
        <f t="shared" ref="T20:T21" si="17">SUM(Q20:S20)</f>
        <v>16.774000000037393</v>
      </c>
      <c r="U20" s="300"/>
      <c r="V20" s="300">
        <v>10.817000000050031</v>
      </c>
      <c r="W20" s="300">
        <v>0.49900000000253314</v>
      </c>
      <c r="X20" s="300">
        <v>1.2099999999850342</v>
      </c>
      <c r="Y20" s="300">
        <f t="shared" ref="Y20:Y21" si="18">SUM(V20:X20)</f>
        <v>12.526000000037598</v>
      </c>
    </row>
    <row r="21" spans="1:25" ht="12.45" x14ac:dyDescent="0.3">
      <c r="A21" s="264" t="s">
        <v>354</v>
      </c>
      <c r="B21" s="301">
        <f>SUM(B19:B20)</f>
        <v>22.850999999881317</v>
      </c>
      <c r="C21" s="301">
        <f t="shared" ref="C21" si="19">SUM(C19:C20)</f>
        <v>1.4309999999984884</v>
      </c>
      <c r="D21" s="301">
        <f t="shared" ref="D21" si="20">SUM(D19:D20)</f>
        <v>6.1129999999779674</v>
      </c>
      <c r="E21" s="301">
        <f t="shared" si="14"/>
        <v>30.394999999857774</v>
      </c>
      <c r="F21" s="301"/>
      <c r="G21" s="301">
        <f>SUM(G19:G20)</f>
        <v>20.171999999957517</v>
      </c>
      <c r="H21" s="301">
        <f t="shared" ref="H21" si="21">SUM(H19:H20)</f>
        <v>1.2159999999996174</v>
      </c>
      <c r="I21" s="301">
        <f t="shared" ref="I21" si="22">SUM(I19:I20)</f>
        <v>2.5860000000201824</v>
      </c>
      <c r="J21" s="301">
        <f t="shared" si="15"/>
        <v>23.973999999977316</v>
      </c>
      <c r="K21" s="301"/>
      <c r="L21" s="301">
        <f>SUM(L19:L20)</f>
        <v>21.213000000009906</v>
      </c>
      <c r="M21" s="301">
        <f t="shared" ref="M21" si="23">SUM(M19:M20)</f>
        <v>1.4030000000011247</v>
      </c>
      <c r="N21" s="301">
        <f t="shared" ref="N21" si="24">SUM(N19:N20)</f>
        <v>1.8899999999868433</v>
      </c>
      <c r="O21" s="301">
        <f t="shared" si="16"/>
        <v>24.505999999997876</v>
      </c>
      <c r="P21" s="301"/>
      <c r="Q21" s="301">
        <f>SUM(Q19:Q20)</f>
        <v>17.001000000089533</v>
      </c>
      <c r="R21" s="301">
        <f t="shared" ref="R21" si="25">SUM(R19:R20)</f>
        <v>1.1700000000022737</v>
      </c>
      <c r="S21" s="301">
        <f t="shared" ref="S21" si="26">SUM(S19:S20)</f>
        <v>1.5769999999702691</v>
      </c>
      <c r="T21" s="301">
        <f t="shared" si="17"/>
        <v>19.748000000062078</v>
      </c>
      <c r="U21" s="301"/>
      <c r="V21" s="301">
        <f>SUM(V19:V20)</f>
        <v>12.554000000055183</v>
      </c>
      <c r="W21" s="301">
        <f t="shared" ref="W21" si="27">SUM(W19:W20)</f>
        <v>0.93400000000283545</v>
      </c>
      <c r="X21" s="301">
        <f t="shared" ref="X21" si="28">SUM(X19:X20)</f>
        <v>1.2099999999850342</v>
      </c>
      <c r="Y21" s="301">
        <f t="shared" si="18"/>
        <v>14.698000000043052</v>
      </c>
    </row>
    <row r="22" spans="1:25" x14ac:dyDescent="0.35">
      <c r="A22" s="262"/>
    </row>
    <row r="23" spans="1:25" x14ac:dyDescent="0.35">
      <c r="A23" s="262"/>
    </row>
    <row r="24" spans="1:25" x14ac:dyDescent="0.35">
      <c r="A24" s="262"/>
    </row>
    <row r="25" spans="1:25" ht="14.15" x14ac:dyDescent="0.35">
      <c r="A25" s="265" t="str">
        <f>"Industry 3 : "&amp; name!B6</f>
        <v>Industry 3 : Food drink and tobacco</v>
      </c>
      <c r="B25" s="372">
        <f>$B$5</f>
        <v>2015</v>
      </c>
      <c r="C25" s="372"/>
      <c r="D25" s="372"/>
      <c r="E25" s="372"/>
      <c r="F25" s="320"/>
      <c r="G25" s="372">
        <f>$G$5</f>
        <v>2019</v>
      </c>
      <c r="H25" s="372"/>
      <c r="I25" s="372"/>
      <c r="J25" s="372"/>
      <c r="K25" s="320"/>
      <c r="L25" s="372">
        <f>$L$5</f>
        <v>2020</v>
      </c>
      <c r="M25" s="372"/>
      <c r="N25" s="372"/>
      <c r="O25" s="372"/>
      <c r="P25" s="318"/>
      <c r="Q25" s="372">
        <f>$Q$5</f>
        <v>2025</v>
      </c>
      <c r="R25" s="372"/>
      <c r="S25" s="372"/>
      <c r="T25" s="372"/>
      <c r="U25" s="320"/>
      <c r="V25" s="372">
        <f>$V$5</f>
        <v>2035</v>
      </c>
      <c r="W25" s="372"/>
      <c r="X25" s="372"/>
      <c r="Y25" s="372"/>
    </row>
    <row r="26" spans="1:25" ht="12.45" x14ac:dyDescent="0.3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ht="12.45" x14ac:dyDescent="0.3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ht="12.45" x14ac:dyDescent="0.3">
      <c r="A28" s="261" t="str">
        <f>name!A6</f>
        <v>Food products</v>
      </c>
      <c r="C28" s="263"/>
    </row>
    <row r="29" spans="1:25" ht="12.45" x14ac:dyDescent="0.3">
      <c r="A29" s="260" t="s">
        <v>356</v>
      </c>
      <c r="B29" s="300">
        <v>79.936999999902326</v>
      </c>
      <c r="C29" s="300">
        <v>25.297000000683141</v>
      </c>
      <c r="D29" s="300">
        <v>5.7010000001154646</v>
      </c>
      <c r="E29" s="300">
        <f>SUM(B29:D29)</f>
        <v>110.93500000070094</v>
      </c>
      <c r="F29" s="300"/>
      <c r="G29" s="300">
        <v>91.04599999898042</v>
      </c>
      <c r="H29" s="300">
        <v>25.496000000562727</v>
      </c>
      <c r="I29" s="300">
        <v>7.1420000001378705</v>
      </c>
      <c r="J29" s="300">
        <f>SUM(G29:I29)</f>
        <v>123.68399999968102</v>
      </c>
      <c r="K29" s="300"/>
      <c r="L29" s="300">
        <v>90.133999999619562</v>
      </c>
      <c r="M29" s="300">
        <v>24.797000000584465</v>
      </c>
      <c r="N29" s="300">
        <v>6.6089999998821813</v>
      </c>
      <c r="O29" s="300">
        <f>SUM(L29:N29)</f>
        <v>121.54000000008621</v>
      </c>
      <c r="P29" s="300"/>
      <c r="Q29" s="300">
        <v>94.149000002557614</v>
      </c>
      <c r="R29" s="300">
        <v>25.208000000955877</v>
      </c>
      <c r="S29" s="300">
        <v>6.7149999999916732</v>
      </c>
      <c r="T29" s="300">
        <f>SUM(Q29:S29)</f>
        <v>126.07200000350517</v>
      </c>
      <c r="U29" s="300"/>
      <c r="V29" s="300">
        <v>97.081999999473652</v>
      </c>
      <c r="W29" s="300">
        <v>24.645999999778414</v>
      </c>
      <c r="X29" s="300">
        <v>6.5339999999824041</v>
      </c>
      <c r="Y29" s="300">
        <f>SUM(V29:X29)</f>
        <v>128.26199999923446</v>
      </c>
    </row>
    <row r="30" spans="1:25" ht="12.45" x14ac:dyDescent="0.3">
      <c r="A30" s="260" t="s">
        <v>355</v>
      </c>
      <c r="B30" s="300">
        <v>181.88100000046458</v>
      </c>
      <c r="C30" s="300">
        <v>12.692000000134369</v>
      </c>
      <c r="D30" s="300">
        <v>6.5759999999869301</v>
      </c>
      <c r="E30" s="300">
        <f t="shared" ref="E30:E31" si="29">SUM(B30:D30)</f>
        <v>201.14900000058586</v>
      </c>
      <c r="F30" s="300"/>
      <c r="G30" s="300">
        <v>192.33600000057086</v>
      </c>
      <c r="H30" s="300">
        <v>14.086000000119972</v>
      </c>
      <c r="I30" s="300">
        <v>2.7220000000181637</v>
      </c>
      <c r="J30" s="300">
        <f t="shared" ref="J30:J31" si="30">SUM(G30:I30)</f>
        <v>209.14400000070901</v>
      </c>
      <c r="K30" s="300"/>
      <c r="L30" s="300">
        <v>191.94900000042153</v>
      </c>
      <c r="M30" s="300">
        <v>14.983999999897165</v>
      </c>
      <c r="N30" s="300">
        <v>3.8209999999680551</v>
      </c>
      <c r="O30" s="300">
        <f t="shared" ref="O30:O31" si="31">SUM(L30:N30)</f>
        <v>210.75400000028677</v>
      </c>
      <c r="P30" s="300"/>
      <c r="Q30" s="300">
        <v>191.30300000057039</v>
      </c>
      <c r="R30" s="300">
        <v>15.285999999948405</v>
      </c>
      <c r="S30" s="300">
        <v>3.920999999948513</v>
      </c>
      <c r="T30" s="300">
        <f t="shared" ref="T30:T31" si="32">SUM(Q30:S30)</f>
        <v>210.51000000046733</v>
      </c>
      <c r="U30" s="300"/>
      <c r="V30" s="300">
        <v>180.83400000039171</v>
      </c>
      <c r="W30" s="300">
        <v>15.092999999949431</v>
      </c>
      <c r="X30" s="300">
        <v>3.8589999999642091</v>
      </c>
      <c r="Y30" s="300">
        <f t="shared" ref="Y30:Y31" si="33">SUM(V30:X30)</f>
        <v>199.78600000030534</v>
      </c>
    </row>
    <row r="31" spans="1:25" ht="12.45" x14ac:dyDescent="0.3">
      <c r="A31" s="260" t="s">
        <v>354</v>
      </c>
      <c r="B31" s="300">
        <f>SUM(B29:B30)</f>
        <v>261.81800000036691</v>
      </c>
      <c r="C31" s="300">
        <f t="shared" ref="C31" si="34">SUM(C29:C30)</f>
        <v>37.989000000817512</v>
      </c>
      <c r="D31" s="300">
        <f t="shared" ref="D31" si="35">SUM(D29:D30)</f>
        <v>12.277000000102394</v>
      </c>
      <c r="E31" s="300">
        <f t="shared" si="29"/>
        <v>312.08400000128682</v>
      </c>
      <c r="F31" s="300"/>
      <c r="G31" s="300">
        <f>SUM(G29:G30)</f>
        <v>283.38199999955128</v>
      </c>
      <c r="H31" s="300">
        <f t="shared" ref="H31" si="36">SUM(H29:H30)</f>
        <v>39.582000000682697</v>
      </c>
      <c r="I31" s="300">
        <f t="shared" ref="I31" si="37">SUM(I29:I30)</f>
        <v>9.8640000001560342</v>
      </c>
      <c r="J31" s="300">
        <f t="shared" si="30"/>
        <v>332.82800000038998</v>
      </c>
      <c r="K31" s="300"/>
      <c r="L31" s="300">
        <f>SUM(L29:L30)</f>
        <v>282.08300000004112</v>
      </c>
      <c r="M31" s="300">
        <f t="shared" ref="M31" si="38">SUM(M29:M30)</f>
        <v>39.781000000481626</v>
      </c>
      <c r="N31" s="300">
        <f t="shared" ref="N31" si="39">SUM(N29:N30)</f>
        <v>10.429999999850237</v>
      </c>
      <c r="O31" s="300">
        <f t="shared" si="31"/>
        <v>332.29400000037299</v>
      </c>
      <c r="P31" s="300"/>
      <c r="Q31" s="300">
        <f>SUM(Q29:Q30)</f>
        <v>285.45200000312798</v>
      </c>
      <c r="R31" s="300">
        <f t="shared" ref="R31" si="40">SUM(R29:R30)</f>
        <v>40.494000000904279</v>
      </c>
      <c r="S31" s="300">
        <f t="shared" ref="S31" si="41">SUM(S29:S30)</f>
        <v>10.635999999940186</v>
      </c>
      <c r="T31" s="300">
        <f t="shared" si="32"/>
        <v>336.58200000397244</v>
      </c>
      <c r="U31" s="300"/>
      <c r="V31" s="300">
        <f>SUM(V29:V30)</f>
        <v>277.91599999986533</v>
      </c>
      <c r="W31" s="300">
        <f t="shared" ref="W31" si="42">SUM(W29:W30)</f>
        <v>39.738999999727845</v>
      </c>
      <c r="X31" s="300">
        <f t="shared" ref="X31" si="43">SUM(X29:X30)</f>
        <v>10.392999999946614</v>
      </c>
      <c r="Y31" s="300">
        <f t="shared" si="33"/>
        <v>328.0479999995398</v>
      </c>
    </row>
    <row r="32" spans="1:25" ht="12.45" x14ac:dyDescent="0.3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ht="12.45" x14ac:dyDescent="0.3">
      <c r="A33" s="261" t="str">
        <f>name!A7</f>
        <v>Beverages and tobacco</v>
      </c>
      <c r="C33" s="263"/>
    </row>
    <row r="34" spans="1:25" ht="12.45" x14ac:dyDescent="0.3">
      <c r="A34" s="260" t="s">
        <v>356</v>
      </c>
      <c r="B34" s="300">
        <v>6.2749999999595873</v>
      </c>
      <c r="C34" s="300">
        <v>3.0540000000243359</v>
      </c>
      <c r="D34" s="300">
        <v>0.42300000000458593</v>
      </c>
      <c r="E34" s="300">
        <f>SUM(B34:D34)</f>
        <v>9.7519999999885094</v>
      </c>
      <c r="F34" s="300"/>
      <c r="G34" s="300">
        <v>7.8639999999487049</v>
      </c>
      <c r="H34" s="300">
        <v>4.3790000000521641</v>
      </c>
      <c r="I34" s="300">
        <v>0.20800000000285446</v>
      </c>
      <c r="J34" s="300">
        <f>SUM(G34:I34)</f>
        <v>12.451000000003724</v>
      </c>
      <c r="K34" s="300"/>
      <c r="L34" s="300">
        <v>7.8379999999668311</v>
      </c>
      <c r="M34" s="300">
        <v>4.3340000000267604</v>
      </c>
      <c r="N34" s="300">
        <v>0.68899999999464379</v>
      </c>
      <c r="O34" s="300">
        <f>SUM(L34:N34)</f>
        <v>12.860999999988236</v>
      </c>
      <c r="P34" s="300"/>
      <c r="Q34" s="300">
        <v>8.0220000001522553</v>
      </c>
      <c r="R34" s="300">
        <v>4.3420000000634884</v>
      </c>
      <c r="S34" s="300">
        <v>0.70499999999979901</v>
      </c>
      <c r="T34" s="300">
        <f>SUM(Q34:S34)</f>
        <v>13.069000000215542</v>
      </c>
      <c r="U34" s="300"/>
      <c r="V34" s="300">
        <v>7.9769999999993972</v>
      </c>
      <c r="W34" s="300">
        <v>4.1359999999719443</v>
      </c>
      <c r="X34" s="300">
        <v>0.69499999999462914</v>
      </c>
      <c r="Y34" s="300">
        <f>SUM(V34:X34)</f>
        <v>12.80799999996597</v>
      </c>
    </row>
    <row r="35" spans="1:25" ht="12.45" x14ac:dyDescent="0.3">
      <c r="A35" s="260" t="s">
        <v>355</v>
      </c>
      <c r="B35" s="300">
        <v>15.618000000024407</v>
      </c>
      <c r="C35" s="300">
        <v>0.82300000000298523</v>
      </c>
      <c r="D35" s="300">
        <v>0.65099999999954894</v>
      </c>
      <c r="E35" s="300">
        <f t="shared" ref="E35:E36" si="44">SUM(B35:D35)</f>
        <v>17.092000000026943</v>
      </c>
      <c r="F35" s="300"/>
      <c r="G35" s="300">
        <v>19.269000000011474</v>
      </c>
      <c r="H35" s="300">
        <v>1.5219999999999207</v>
      </c>
      <c r="I35" s="300">
        <v>0.37100000000064715</v>
      </c>
      <c r="J35" s="300">
        <f t="shared" ref="J35:J36" si="45">SUM(G35:I35)</f>
        <v>21.162000000012043</v>
      </c>
      <c r="K35" s="300"/>
      <c r="L35" s="300">
        <v>19.170999999915548</v>
      </c>
      <c r="M35" s="300">
        <v>1.6629999999899938</v>
      </c>
      <c r="N35" s="300">
        <v>1.3200000000047412</v>
      </c>
      <c r="O35" s="300">
        <f t="shared" ref="O35:O36" si="46">SUM(L35:N35)</f>
        <v>22.15399999991028</v>
      </c>
      <c r="P35" s="300"/>
      <c r="Q35" s="300">
        <v>19.143999999940714</v>
      </c>
      <c r="R35" s="300">
        <v>1.6799999999939359</v>
      </c>
      <c r="S35" s="300">
        <v>1.3370000000152058</v>
      </c>
      <c r="T35" s="300">
        <f t="shared" ref="T35:T36" si="47">SUM(Q35:S35)</f>
        <v>22.160999999949855</v>
      </c>
      <c r="U35" s="300"/>
      <c r="V35" s="300">
        <v>18.152999999911717</v>
      </c>
      <c r="W35" s="300">
        <v>1.6289999999919398</v>
      </c>
      <c r="X35" s="300">
        <v>1.4550000000101568</v>
      </c>
      <c r="Y35" s="300">
        <f t="shared" ref="Y35:Y36" si="48">SUM(V35:X35)</f>
        <v>21.236999999913813</v>
      </c>
    </row>
    <row r="36" spans="1:25" ht="12.45" x14ac:dyDescent="0.3">
      <c r="A36" s="260" t="s">
        <v>354</v>
      </c>
      <c r="B36" s="300">
        <f>SUM(B34:B35)</f>
        <v>21.892999999983996</v>
      </c>
      <c r="C36" s="300">
        <f t="shared" ref="C36" si="49">SUM(C34:C35)</f>
        <v>3.877000000027321</v>
      </c>
      <c r="D36" s="300">
        <f t="shared" ref="D36" si="50">SUM(D34:D35)</f>
        <v>1.0740000000041348</v>
      </c>
      <c r="E36" s="300">
        <f t="shared" si="44"/>
        <v>26.844000000015448</v>
      </c>
      <c r="F36" s="300"/>
      <c r="G36" s="300">
        <f>SUM(G34:G35)</f>
        <v>27.132999999960177</v>
      </c>
      <c r="H36" s="300">
        <f t="shared" ref="H36" si="51">SUM(H34:H35)</f>
        <v>5.9010000000520844</v>
      </c>
      <c r="I36" s="300">
        <f t="shared" ref="I36" si="52">SUM(I34:I35)</f>
        <v>0.5790000000035016</v>
      </c>
      <c r="J36" s="300">
        <f t="shared" si="45"/>
        <v>33.613000000015766</v>
      </c>
      <c r="K36" s="300"/>
      <c r="L36" s="300">
        <f>SUM(L34:L35)</f>
        <v>27.008999999882377</v>
      </c>
      <c r="M36" s="300">
        <f t="shared" ref="M36" si="53">SUM(M34:M35)</f>
        <v>5.9970000000167545</v>
      </c>
      <c r="N36" s="300">
        <f t="shared" ref="N36" si="54">SUM(N34:N35)</f>
        <v>2.0089999999993848</v>
      </c>
      <c r="O36" s="300">
        <f t="shared" si="46"/>
        <v>35.014999999898514</v>
      </c>
      <c r="P36" s="300"/>
      <c r="Q36" s="300">
        <f>SUM(Q34:Q35)</f>
        <v>27.166000000092971</v>
      </c>
      <c r="R36" s="300">
        <f t="shared" ref="R36" si="55">SUM(R34:R35)</f>
        <v>6.0220000000574245</v>
      </c>
      <c r="S36" s="300">
        <f t="shared" ref="S36" si="56">SUM(S34:S35)</f>
        <v>2.0420000000150047</v>
      </c>
      <c r="T36" s="300">
        <f t="shared" si="47"/>
        <v>35.230000000165404</v>
      </c>
      <c r="U36" s="300"/>
      <c r="V36" s="300">
        <f>SUM(V34:V35)</f>
        <v>26.129999999911114</v>
      </c>
      <c r="W36" s="300">
        <f t="shared" ref="W36" si="57">SUM(W34:W35)</f>
        <v>5.7649999999638837</v>
      </c>
      <c r="X36" s="300">
        <f t="shared" ref="X36" si="58">SUM(X34:X35)</f>
        <v>2.1500000000047859</v>
      </c>
      <c r="Y36" s="300">
        <f t="shared" si="48"/>
        <v>34.044999999879785</v>
      </c>
    </row>
    <row r="37" spans="1:25" ht="12.45" x14ac:dyDescent="0.3">
      <c r="C37" s="263"/>
    </row>
    <row r="38" spans="1:25" x14ac:dyDescent="0.35">
      <c r="A38" s="261" t="s">
        <v>372</v>
      </c>
    </row>
    <row r="39" spans="1:25" ht="12.45" x14ac:dyDescent="0.3">
      <c r="A39" s="260" t="s">
        <v>356</v>
      </c>
      <c r="B39" s="300">
        <f>SUM(B29,B34)</f>
        <v>86.211999999861916</v>
      </c>
      <c r="C39" s="300">
        <f t="shared" ref="C39:D40" si="59">SUM(C29,C34)</f>
        <v>28.351000000707476</v>
      </c>
      <c r="D39" s="300">
        <f t="shared" si="59"/>
        <v>6.1240000001200503</v>
      </c>
      <c r="E39" s="300">
        <f>SUM(B39:D39)</f>
        <v>120.68700000068944</v>
      </c>
      <c r="F39" s="300"/>
      <c r="G39" s="300">
        <f>SUM(G29,G34)</f>
        <v>98.909999998929123</v>
      </c>
      <c r="H39" s="300">
        <f t="shared" ref="H39:I39" si="60">SUM(H29,H34)</f>
        <v>29.875000000614889</v>
      </c>
      <c r="I39" s="300">
        <f t="shared" si="60"/>
        <v>7.3500000001407253</v>
      </c>
      <c r="J39" s="300">
        <f>SUM(G39:I39)</f>
        <v>136.13499999968477</v>
      </c>
      <c r="K39" s="300"/>
      <c r="L39" s="300">
        <f>SUM(L29,L34)</f>
        <v>97.971999999586387</v>
      </c>
      <c r="M39" s="300">
        <f t="shared" ref="M39:N39" si="61">SUM(M29,M34)</f>
        <v>29.131000000611223</v>
      </c>
      <c r="N39" s="300">
        <f t="shared" si="61"/>
        <v>7.2979999998768248</v>
      </c>
      <c r="O39" s="300">
        <f>SUM(L39:N39)</f>
        <v>134.40100000007445</v>
      </c>
      <c r="P39" s="300"/>
      <c r="Q39" s="300">
        <f>SUM(Q29,Q34)</f>
        <v>102.17100000270987</v>
      </c>
      <c r="R39" s="300">
        <f t="shared" ref="R39:S39" si="62">SUM(R29,R34)</f>
        <v>29.550000001019367</v>
      </c>
      <c r="S39" s="300">
        <f t="shared" si="62"/>
        <v>7.4199999999914725</v>
      </c>
      <c r="T39" s="300">
        <f>SUM(Q39:S39)</f>
        <v>139.14100000372071</v>
      </c>
      <c r="U39" s="300"/>
      <c r="V39" s="300">
        <f>SUM(V29,V34)</f>
        <v>105.05899999947304</v>
      </c>
      <c r="W39" s="300">
        <f t="shared" ref="W39:X39" si="63">SUM(W29,W34)</f>
        <v>28.781999999750358</v>
      </c>
      <c r="X39" s="300">
        <f t="shared" si="63"/>
        <v>7.2289999999770336</v>
      </c>
      <c r="Y39" s="300">
        <f>SUM(V39:X39)</f>
        <v>141.06999999920043</v>
      </c>
    </row>
    <row r="40" spans="1:25" ht="12.45" x14ac:dyDescent="0.3">
      <c r="A40" s="260" t="s">
        <v>355</v>
      </c>
      <c r="B40" s="300">
        <f>SUM(B30,B35)</f>
        <v>197.49900000048899</v>
      </c>
      <c r="C40" s="300">
        <f t="shared" si="59"/>
        <v>13.515000000137354</v>
      </c>
      <c r="D40" s="300">
        <f t="shared" si="59"/>
        <v>7.2269999999864787</v>
      </c>
      <c r="E40" s="300">
        <f t="shared" ref="E40:E41" si="64">SUM(B40:D40)</f>
        <v>218.24100000061281</v>
      </c>
      <c r="F40" s="300"/>
      <c r="G40" s="300">
        <f>SUM(G30,G35)</f>
        <v>211.60500000058232</v>
      </c>
      <c r="H40" s="300">
        <f t="shared" ref="H40:I40" si="65">SUM(H30,H35)</f>
        <v>15.608000000119892</v>
      </c>
      <c r="I40" s="300">
        <f t="shared" si="65"/>
        <v>3.0930000000188107</v>
      </c>
      <c r="J40" s="300">
        <f t="shared" ref="J40:J41" si="66">SUM(G40:I40)</f>
        <v>230.30600000072101</v>
      </c>
      <c r="K40" s="300"/>
      <c r="L40" s="300">
        <f>SUM(L30,L35)</f>
        <v>211.12000000033709</v>
      </c>
      <c r="M40" s="300">
        <f t="shared" ref="M40:N40" si="67">SUM(M30,M35)</f>
        <v>16.646999999887157</v>
      </c>
      <c r="N40" s="300">
        <f t="shared" si="67"/>
        <v>5.140999999972796</v>
      </c>
      <c r="O40" s="300">
        <f t="shared" ref="O40:O41" si="68">SUM(L40:N40)</f>
        <v>232.90800000019703</v>
      </c>
      <c r="P40" s="300"/>
      <c r="Q40" s="300">
        <f>SUM(Q30,Q35)</f>
        <v>210.44700000051111</v>
      </c>
      <c r="R40" s="300">
        <f t="shared" ref="R40:S40" si="69">SUM(R30,R35)</f>
        <v>16.965999999942341</v>
      </c>
      <c r="S40" s="300">
        <f t="shared" si="69"/>
        <v>5.2579999999637188</v>
      </c>
      <c r="T40" s="300">
        <f t="shared" ref="T40:T41" si="70">SUM(Q40:S40)</f>
        <v>232.67100000041717</v>
      </c>
      <c r="U40" s="300"/>
      <c r="V40" s="300">
        <f>SUM(V30,V35)</f>
        <v>198.98700000030342</v>
      </c>
      <c r="W40" s="300">
        <f t="shared" ref="W40:X40" si="71">SUM(W30,W35)</f>
        <v>16.721999999941371</v>
      </c>
      <c r="X40" s="300">
        <f t="shared" si="71"/>
        <v>5.3139999999743655</v>
      </c>
      <c r="Y40" s="300">
        <f t="shared" ref="Y40:Y41" si="72">SUM(V40:X40)</f>
        <v>221.02300000021916</v>
      </c>
    </row>
    <row r="41" spans="1:25" ht="12.45" x14ac:dyDescent="0.3">
      <c r="A41" s="264" t="s">
        <v>354</v>
      </c>
      <c r="B41" s="301">
        <f>SUM(B39:B40)</f>
        <v>283.71100000035091</v>
      </c>
      <c r="C41" s="301">
        <f t="shared" ref="C41" si="73">SUM(C39:C40)</f>
        <v>41.866000000844828</v>
      </c>
      <c r="D41" s="301">
        <f t="shared" ref="D41" si="74">SUM(D39:D40)</f>
        <v>13.351000000106529</v>
      </c>
      <c r="E41" s="301">
        <f t="shared" si="64"/>
        <v>338.92800000130228</v>
      </c>
      <c r="F41" s="301"/>
      <c r="G41" s="301">
        <f>SUM(G39:G40)</f>
        <v>310.51499999951147</v>
      </c>
      <c r="H41" s="301">
        <f t="shared" ref="H41" si="75">SUM(H39:H40)</f>
        <v>45.483000000734783</v>
      </c>
      <c r="I41" s="301">
        <f t="shared" ref="I41" si="76">SUM(I39:I40)</f>
        <v>10.443000000159536</v>
      </c>
      <c r="J41" s="301">
        <f t="shared" si="66"/>
        <v>366.44100000040578</v>
      </c>
      <c r="K41" s="301"/>
      <c r="L41" s="301">
        <f>SUM(L39:L40)</f>
        <v>309.09199999992347</v>
      </c>
      <c r="M41" s="301">
        <f t="shared" ref="M41" si="77">SUM(M39:M40)</f>
        <v>45.77800000049838</v>
      </c>
      <c r="N41" s="301">
        <f t="shared" ref="N41" si="78">SUM(N39:N40)</f>
        <v>12.438999999849621</v>
      </c>
      <c r="O41" s="301">
        <f t="shared" si="68"/>
        <v>367.30900000027145</v>
      </c>
      <c r="P41" s="301"/>
      <c r="Q41" s="301">
        <f>SUM(Q39:Q40)</f>
        <v>312.61800000322097</v>
      </c>
      <c r="R41" s="301">
        <f t="shared" ref="R41" si="79">SUM(R39:R40)</f>
        <v>46.516000000961711</v>
      </c>
      <c r="S41" s="301">
        <f t="shared" ref="S41" si="80">SUM(S39:S40)</f>
        <v>12.67799999995519</v>
      </c>
      <c r="T41" s="301">
        <f t="shared" si="70"/>
        <v>371.81200000413787</v>
      </c>
      <c r="U41" s="301"/>
      <c r="V41" s="301">
        <f>SUM(V39:V40)</f>
        <v>304.04599999977648</v>
      </c>
      <c r="W41" s="301">
        <f t="shared" ref="W41" si="81">SUM(W39:W40)</f>
        <v>45.503999999691729</v>
      </c>
      <c r="X41" s="301">
        <f t="shared" ref="X41" si="82">SUM(X39:X40)</f>
        <v>12.542999999951398</v>
      </c>
      <c r="Y41" s="301">
        <f t="shared" si="72"/>
        <v>362.09299999941965</v>
      </c>
    </row>
    <row r="45" spans="1:25" ht="14.15" x14ac:dyDescent="0.35">
      <c r="A45" s="265" t="str">
        <f>"Industry 4 : "&amp; name!B7</f>
        <v>Industry 4 : Engineering</v>
      </c>
      <c r="B45" s="372">
        <f>$B$5</f>
        <v>2015</v>
      </c>
      <c r="C45" s="372"/>
      <c r="D45" s="372"/>
      <c r="E45" s="372"/>
      <c r="F45" s="320"/>
      <c r="G45" s="372">
        <f>$G$5</f>
        <v>2019</v>
      </c>
      <c r="H45" s="372"/>
      <c r="I45" s="372"/>
      <c r="J45" s="372"/>
      <c r="K45" s="320"/>
      <c r="L45" s="372">
        <f>$L$5</f>
        <v>2020</v>
      </c>
      <c r="M45" s="372"/>
      <c r="N45" s="372"/>
      <c r="O45" s="372"/>
      <c r="P45" s="318"/>
      <c r="Q45" s="372">
        <f>$Q$5</f>
        <v>2025</v>
      </c>
      <c r="R45" s="372"/>
      <c r="S45" s="372"/>
      <c r="T45" s="372"/>
      <c r="U45" s="320"/>
      <c r="V45" s="372">
        <f>$V$5</f>
        <v>2035</v>
      </c>
      <c r="W45" s="372"/>
      <c r="X45" s="372"/>
      <c r="Y45" s="372"/>
    </row>
    <row r="46" spans="1:25" ht="12.45" x14ac:dyDescent="0.3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ht="12.45" x14ac:dyDescent="0.3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ht="12.45" x14ac:dyDescent="0.3">
      <c r="A48" s="261" t="str">
        <f>name!A19</f>
        <v>Computer, etc</v>
      </c>
      <c r="C48" s="263"/>
    </row>
    <row r="49" spans="1:25" ht="12.45" x14ac:dyDescent="0.3">
      <c r="A49" s="260" t="s">
        <v>356</v>
      </c>
      <c r="B49" s="300">
        <v>19.859999999829878</v>
      </c>
      <c r="C49" s="300">
        <v>5.2580000000824034</v>
      </c>
      <c r="D49" s="300">
        <v>0.79500000000040372</v>
      </c>
      <c r="E49" s="300">
        <f>SUM(B49:D49)</f>
        <v>25.912999999912685</v>
      </c>
      <c r="F49" s="300"/>
      <c r="G49" s="300">
        <v>18.595999999742165</v>
      </c>
      <c r="H49" s="300">
        <v>4.3800000000740962</v>
      </c>
      <c r="I49" s="300">
        <v>0.85599999999896814</v>
      </c>
      <c r="J49" s="300">
        <f>SUM(G49:I49)</f>
        <v>23.831999999815228</v>
      </c>
      <c r="K49" s="300"/>
      <c r="L49" s="300">
        <v>22.057999999823267</v>
      </c>
      <c r="M49" s="300">
        <v>4.4510000000546155</v>
      </c>
      <c r="N49" s="300">
        <v>1.6069999999816713</v>
      </c>
      <c r="O49" s="300">
        <f>SUM(L49:N49)</f>
        <v>28.115999999859554</v>
      </c>
      <c r="P49" s="300"/>
      <c r="Q49" s="300">
        <v>21.981000000403313</v>
      </c>
      <c r="R49" s="300">
        <v>4.4340000001068232</v>
      </c>
      <c r="S49" s="300">
        <v>1.6429999999930454</v>
      </c>
      <c r="T49" s="300">
        <f>SUM(Q49:S49)</f>
        <v>28.058000000503181</v>
      </c>
      <c r="U49" s="300"/>
      <c r="V49" s="300">
        <v>17.155000000034651</v>
      </c>
      <c r="W49" s="300">
        <v>3.4369999999868934</v>
      </c>
      <c r="X49" s="300">
        <v>1.3679999999935835</v>
      </c>
      <c r="Y49" s="300">
        <f>SUM(V49:X49)</f>
        <v>21.960000000015125</v>
      </c>
    </row>
    <row r="50" spans="1:25" ht="12.45" x14ac:dyDescent="0.3">
      <c r="A50" s="260" t="s">
        <v>355</v>
      </c>
      <c r="B50" s="300">
        <v>64.817999999727675</v>
      </c>
      <c r="C50" s="300">
        <v>3.6359999999954744</v>
      </c>
      <c r="D50" s="300">
        <v>3.9700000000663356</v>
      </c>
      <c r="E50" s="300">
        <f t="shared" ref="E50:E51" si="83">SUM(B50:D50)</f>
        <v>72.423999999789487</v>
      </c>
      <c r="F50" s="300"/>
      <c r="G50" s="300">
        <v>68.182999999832205</v>
      </c>
      <c r="H50" s="300">
        <v>2.6629999999989584</v>
      </c>
      <c r="I50" s="300">
        <v>5.6600000000062431</v>
      </c>
      <c r="J50" s="300">
        <f t="shared" ref="J50:J51" si="84">SUM(G50:I50)</f>
        <v>76.505999999837414</v>
      </c>
      <c r="K50" s="300"/>
      <c r="L50" s="300">
        <v>69.108999999803373</v>
      </c>
      <c r="M50" s="300">
        <v>3.6799999999861401</v>
      </c>
      <c r="N50" s="300">
        <v>3.3610000000405624</v>
      </c>
      <c r="O50" s="300">
        <f t="shared" ref="O50:O51" si="85">SUM(L50:N50)</f>
        <v>76.149999999830072</v>
      </c>
      <c r="P50" s="300"/>
      <c r="Q50" s="300">
        <v>72.646000000014638</v>
      </c>
      <c r="R50" s="300">
        <v>3.8999999999906194</v>
      </c>
      <c r="S50" s="300">
        <v>3.6350000001035925</v>
      </c>
      <c r="T50" s="300">
        <f t="shared" ref="T50:T51" si="86">SUM(Q50:S50)</f>
        <v>80.181000000108838</v>
      </c>
      <c r="U50" s="300"/>
      <c r="V50" s="300">
        <v>63.469000000048446</v>
      </c>
      <c r="W50" s="300">
        <v>3.4329999999851131</v>
      </c>
      <c r="X50" s="300">
        <v>3.316000000066877</v>
      </c>
      <c r="Y50" s="300">
        <f t="shared" ref="Y50:Y51" si="87">SUM(V50:X50)</f>
        <v>70.218000000100432</v>
      </c>
    </row>
    <row r="51" spans="1:25" ht="12.45" x14ac:dyDescent="0.3">
      <c r="A51" s="260" t="s">
        <v>354</v>
      </c>
      <c r="B51" s="300">
        <f>SUM(B49:B50)</f>
        <v>84.677999999557557</v>
      </c>
      <c r="C51" s="300">
        <f t="shared" ref="C51" si="88">SUM(C49:C50)</f>
        <v>8.8940000000778774</v>
      </c>
      <c r="D51" s="300">
        <f t="shared" ref="D51" si="89">SUM(D49:D50)</f>
        <v>4.7650000000667392</v>
      </c>
      <c r="E51" s="300">
        <f t="shared" si="83"/>
        <v>98.336999999702172</v>
      </c>
      <c r="F51" s="300"/>
      <c r="G51" s="300">
        <f>SUM(G49:G50)</f>
        <v>86.778999999574367</v>
      </c>
      <c r="H51" s="300">
        <f t="shared" ref="H51" si="90">SUM(H49:H50)</f>
        <v>7.0430000000730546</v>
      </c>
      <c r="I51" s="300">
        <f t="shared" ref="I51" si="91">SUM(I49:I50)</f>
        <v>6.516000000005211</v>
      </c>
      <c r="J51" s="300">
        <f t="shared" si="84"/>
        <v>100.33799999965262</v>
      </c>
      <c r="K51" s="300"/>
      <c r="L51" s="300">
        <f>SUM(L49:L50)</f>
        <v>91.16699999962664</v>
      </c>
      <c r="M51" s="300">
        <f t="shared" ref="M51" si="92">SUM(M49:M50)</f>
        <v>8.1310000000407552</v>
      </c>
      <c r="N51" s="300">
        <f t="shared" ref="N51" si="93">SUM(N49:N50)</f>
        <v>4.9680000000222337</v>
      </c>
      <c r="O51" s="300">
        <f t="shared" si="85"/>
        <v>104.26599999968963</v>
      </c>
      <c r="P51" s="300"/>
      <c r="Q51" s="300">
        <f>SUM(Q49:Q50)</f>
        <v>94.627000000417951</v>
      </c>
      <c r="R51" s="300">
        <f t="shared" ref="R51" si="94">SUM(R49:R50)</f>
        <v>8.3340000000974435</v>
      </c>
      <c r="S51" s="300">
        <f t="shared" ref="S51" si="95">SUM(S49:S50)</f>
        <v>5.2780000000966378</v>
      </c>
      <c r="T51" s="300">
        <f t="shared" si="86"/>
        <v>108.23900000061204</v>
      </c>
      <c r="U51" s="300"/>
      <c r="V51" s="300">
        <f>SUM(V49:V50)</f>
        <v>80.6240000000831</v>
      </c>
      <c r="W51" s="300">
        <f t="shared" ref="W51" si="96">SUM(W49:W50)</f>
        <v>6.8699999999720065</v>
      </c>
      <c r="X51" s="300">
        <f t="shared" ref="X51" si="97">SUM(X49:X50)</f>
        <v>4.6840000000604602</v>
      </c>
      <c r="Y51" s="300">
        <f t="shared" si="87"/>
        <v>92.178000000115574</v>
      </c>
    </row>
    <row r="52" spans="1:25" ht="12.4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45" x14ac:dyDescent="0.3">
      <c r="A53" s="261" t="str">
        <f>name!A20</f>
        <v>Electrical equipment</v>
      </c>
      <c r="C53" s="263"/>
    </row>
    <row r="54" spans="1:25" ht="12.45" x14ac:dyDescent="0.3">
      <c r="A54" s="260" t="s">
        <v>356</v>
      </c>
      <c r="B54" s="300">
        <v>15.321999999896514</v>
      </c>
      <c r="C54" s="300">
        <v>3.6630000000289171</v>
      </c>
      <c r="D54" s="300">
        <v>0.71100000000709274</v>
      </c>
      <c r="E54" s="300">
        <f>SUM(B54:D54)</f>
        <v>19.695999999932525</v>
      </c>
      <c r="F54" s="300"/>
      <c r="G54" s="300">
        <v>12.999999999847228</v>
      </c>
      <c r="H54" s="300">
        <v>4.6280000000518573</v>
      </c>
      <c r="I54" s="300">
        <v>1.7590000000191284</v>
      </c>
      <c r="J54" s="300">
        <f>SUM(G54:I54)</f>
        <v>19.386999999918213</v>
      </c>
      <c r="K54" s="300"/>
      <c r="L54" s="300">
        <v>12.157999999907757</v>
      </c>
      <c r="M54" s="300">
        <v>3.701000000035974</v>
      </c>
      <c r="N54" s="300">
        <v>2.7259999999785021</v>
      </c>
      <c r="O54" s="300">
        <f>SUM(L54:N54)</f>
        <v>18.584999999922232</v>
      </c>
      <c r="P54" s="300"/>
      <c r="Q54" s="300">
        <v>12.183000000226754</v>
      </c>
      <c r="R54" s="300">
        <v>3.8010000000514399</v>
      </c>
      <c r="S54" s="300">
        <v>2.7309999999976036</v>
      </c>
      <c r="T54" s="300">
        <f>SUM(Q54:S54)</f>
        <v>18.715000000275797</v>
      </c>
      <c r="U54" s="300"/>
      <c r="V54" s="300">
        <v>12.246000000022571</v>
      </c>
      <c r="W54" s="300">
        <v>3.954999999974576</v>
      </c>
      <c r="X54" s="300">
        <v>2.7269999999874726</v>
      </c>
      <c r="Y54" s="300">
        <f>SUM(V54:X54)</f>
        <v>18.927999999984621</v>
      </c>
    </row>
    <row r="55" spans="1:25" ht="12.45" x14ac:dyDescent="0.3">
      <c r="A55" s="260" t="s">
        <v>355</v>
      </c>
      <c r="B55" s="300">
        <v>52.604999999834341</v>
      </c>
      <c r="C55" s="300">
        <v>1.6860000000005149</v>
      </c>
      <c r="D55" s="300">
        <v>1.6179999999979899</v>
      </c>
      <c r="E55" s="300">
        <f t="shared" ref="E55:E56" si="98">SUM(B55:D55)</f>
        <v>55.908999999832844</v>
      </c>
      <c r="F55" s="300"/>
      <c r="G55" s="300">
        <v>43.38399999992702</v>
      </c>
      <c r="H55" s="300">
        <v>1.791999999995679</v>
      </c>
      <c r="I55" s="300">
        <v>4.2270000000349706</v>
      </c>
      <c r="J55" s="300">
        <f t="shared" ref="J55:J56" si="99">SUM(G55:I55)</f>
        <v>49.402999999957672</v>
      </c>
      <c r="K55" s="300"/>
      <c r="L55" s="300">
        <v>38.917999999934139</v>
      </c>
      <c r="M55" s="300">
        <v>2.8199999999888576</v>
      </c>
      <c r="N55" s="300">
        <v>0.75899999999719703</v>
      </c>
      <c r="O55" s="300">
        <f t="shared" ref="O55:O56" si="100">SUM(L55:N55)</f>
        <v>42.496999999920192</v>
      </c>
      <c r="P55" s="300"/>
      <c r="Q55" s="300">
        <v>37.205000000049822</v>
      </c>
      <c r="R55" s="300">
        <v>2.8469999999882827</v>
      </c>
      <c r="S55" s="300">
        <v>0.89099999998931201</v>
      </c>
      <c r="T55" s="300">
        <f t="shared" ref="T55:T56" si="101">SUM(Q55:S55)</f>
        <v>40.943000000027418</v>
      </c>
      <c r="U55" s="300"/>
      <c r="V55" s="300">
        <v>33.976000000057176</v>
      </c>
      <c r="W55" s="300">
        <v>2.8739999999813755</v>
      </c>
      <c r="X55" s="300">
        <v>1.1269999999911198</v>
      </c>
      <c r="Y55" s="300">
        <f t="shared" ref="Y55:Y56" si="102">SUM(V55:X55)</f>
        <v>37.977000000029669</v>
      </c>
    </row>
    <row r="56" spans="1:25" ht="12.45" x14ac:dyDescent="0.3">
      <c r="A56" s="260" t="s">
        <v>354</v>
      </c>
      <c r="B56" s="300">
        <f>SUM(B54:B55)</f>
        <v>67.926999999730853</v>
      </c>
      <c r="C56" s="300">
        <f t="shared" ref="C56" si="103">SUM(C54:C55)</f>
        <v>5.3490000000294318</v>
      </c>
      <c r="D56" s="300">
        <f t="shared" ref="D56" si="104">SUM(D54:D55)</f>
        <v>2.3290000000050828</v>
      </c>
      <c r="E56" s="300">
        <f t="shared" si="98"/>
        <v>75.604999999765369</v>
      </c>
      <c r="F56" s="300"/>
      <c r="G56" s="300">
        <f>SUM(G54:G55)</f>
        <v>56.383999999774247</v>
      </c>
      <c r="H56" s="300">
        <f t="shared" ref="H56" si="105">SUM(H54:H55)</f>
        <v>6.4200000000475361</v>
      </c>
      <c r="I56" s="300">
        <f t="shared" ref="I56" si="106">SUM(I54:I55)</f>
        <v>5.9860000000540987</v>
      </c>
      <c r="J56" s="300">
        <f t="shared" si="99"/>
        <v>68.789999999875889</v>
      </c>
      <c r="K56" s="300"/>
      <c r="L56" s="300">
        <f>SUM(L54:L55)</f>
        <v>51.075999999841898</v>
      </c>
      <c r="M56" s="300">
        <f t="shared" ref="M56" si="107">SUM(M54:M55)</f>
        <v>6.5210000000248316</v>
      </c>
      <c r="N56" s="300">
        <f t="shared" ref="N56" si="108">SUM(N54:N55)</f>
        <v>3.4849999999756989</v>
      </c>
      <c r="O56" s="300">
        <f t="shared" si="100"/>
        <v>61.081999999842431</v>
      </c>
      <c r="P56" s="300"/>
      <c r="Q56" s="300">
        <f>SUM(Q54:Q55)</f>
        <v>49.388000000276577</v>
      </c>
      <c r="R56" s="300">
        <f t="shared" ref="R56" si="109">SUM(R54:R55)</f>
        <v>6.6480000000397226</v>
      </c>
      <c r="S56" s="300">
        <f t="shared" ref="S56" si="110">SUM(S54:S55)</f>
        <v>3.6219999999869157</v>
      </c>
      <c r="T56" s="300">
        <f t="shared" si="101"/>
        <v>59.658000000303218</v>
      </c>
      <c r="U56" s="300"/>
      <c r="V56" s="300">
        <f>SUM(V54:V55)</f>
        <v>46.222000000079746</v>
      </c>
      <c r="W56" s="300">
        <f t="shared" ref="W56" si="111">SUM(W54:W55)</f>
        <v>6.8289999999559514</v>
      </c>
      <c r="X56" s="300">
        <f t="shared" ref="X56" si="112">SUM(X54:X55)</f>
        <v>3.8539999999785923</v>
      </c>
      <c r="Y56" s="300">
        <f t="shared" si="102"/>
        <v>56.90500000001429</v>
      </c>
    </row>
    <row r="57" spans="1:25" ht="12.45" x14ac:dyDescent="0.3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ht="12.45" x14ac:dyDescent="0.3">
      <c r="A58" s="261" t="str">
        <f>name!A21</f>
        <v>Machinery n.e.c.</v>
      </c>
      <c r="C58" s="263"/>
    </row>
    <row r="59" spans="1:25" ht="12.45" x14ac:dyDescent="0.3">
      <c r="A59" s="260" t="s">
        <v>356</v>
      </c>
      <c r="B59" s="300">
        <v>19.672999999878478</v>
      </c>
      <c r="C59" s="300">
        <v>4.8770000000445979</v>
      </c>
      <c r="D59" s="300">
        <v>1.5040000000140388</v>
      </c>
      <c r="E59" s="300">
        <f>SUM(B59:D59)</f>
        <v>26.053999999937112</v>
      </c>
      <c r="F59" s="300"/>
      <c r="G59" s="300">
        <v>21.671999999738333</v>
      </c>
      <c r="H59" s="300">
        <v>5.3060000000369545</v>
      </c>
      <c r="I59" s="300">
        <v>4.4570000000476142</v>
      </c>
      <c r="J59" s="300">
        <f>SUM(G59:I59)</f>
        <v>31.434999999822899</v>
      </c>
      <c r="K59" s="300"/>
      <c r="L59" s="300">
        <v>22.474999999830207</v>
      </c>
      <c r="M59" s="300">
        <v>6.2810000000413684</v>
      </c>
      <c r="N59" s="300">
        <v>2.3099999999732606</v>
      </c>
      <c r="O59" s="300">
        <f>SUM(L59:N59)</f>
        <v>31.065999999844838</v>
      </c>
      <c r="P59" s="300"/>
      <c r="Q59" s="300">
        <v>22.744000000462474</v>
      </c>
      <c r="R59" s="300">
        <v>6.3800000000609645</v>
      </c>
      <c r="S59" s="300">
        <v>2.3939999999966077</v>
      </c>
      <c r="T59" s="300">
        <f>SUM(Q59:S59)</f>
        <v>31.518000000520047</v>
      </c>
      <c r="U59" s="300"/>
      <c r="V59" s="300">
        <v>19.450000000033832</v>
      </c>
      <c r="W59" s="300">
        <v>5.4989999999640879</v>
      </c>
      <c r="X59" s="300">
        <v>2.1589999999892924</v>
      </c>
      <c r="Y59" s="300">
        <f>SUM(V59:X59)</f>
        <v>27.107999999987211</v>
      </c>
    </row>
    <row r="60" spans="1:25" ht="12.45" x14ac:dyDescent="0.3">
      <c r="A60" s="260" t="s">
        <v>355</v>
      </c>
      <c r="B60" s="300">
        <v>120.73099999959067</v>
      </c>
      <c r="C60" s="300">
        <v>2.7070000000010497</v>
      </c>
      <c r="D60" s="300">
        <v>7.720999999987562</v>
      </c>
      <c r="E60" s="300">
        <f t="shared" ref="E60:E61" si="113">SUM(B60:D60)</f>
        <v>131.15899999957927</v>
      </c>
      <c r="F60" s="300"/>
      <c r="G60" s="300">
        <v>125.10499999970749</v>
      </c>
      <c r="H60" s="300">
        <v>2.7759999999975888</v>
      </c>
      <c r="I60" s="300">
        <v>10.258000000103765</v>
      </c>
      <c r="J60" s="300">
        <f t="shared" ref="J60:J61" si="114">SUM(G60:I60)</f>
        <v>138.13899999980885</v>
      </c>
      <c r="K60" s="300"/>
      <c r="L60" s="300">
        <v>117.07199999972629</v>
      </c>
      <c r="M60" s="300">
        <v>3.7639999999989993</v>
      </c>
      <c r="N60" s="300">
        <v>5.4059999999789845</v>
      </c>
      <c r="O60" s="300">
        <f t="shared" ref="O60:O61" si="115">SUM(L60:N60)</f>
        <v>126.24199999970428</v>
      </c>
      <c r="P60" s="300"/>
      <c r="Q60" s="300">
        <v>119.92500000008891</v>
      </c>
      <c r="R60" s="300">
        <v>3.9940000000016322</v>
      </c>
      <c r="S60" s="300">
        <v>5.6509999999135871</v>
      </c>
      <c r="T60" s="300">
        <f t="shared" ref="T60:T61" si="116">SUM(Q60:S60)</f>
        <v>129.57000000000414</v>
      </c>
      <c r="U60" s="300"/>
      <c r="V60" s="300">
        <v>105.12600000008851</v>
      </c>
      <c r="W60" s="300">
        <v>3.7539999999986584</v>
      </c>
      <c r="X60" s="300">
        <v>5.1049999999570517</v>
      </c>
      <c r="Y60" s="300">
        <f t="shared" ref="Y60:Y61" si="117">SUM(V60:X60)</f>
        <v>113.98500000004421</v>
      </c>
    </row>
    <row r="61" spans="1:25" ht="12.45" x14ac:dyDescent="0.3">
      <c r="A61" s="260" t="s">
        <v>354</v>
      </c>
      <c r="B61" s="300">
        <f>SUM(B59:B60)</f>
        <v>140.40399999946914</v>
      </c>
      <c r="C61" s="300">
        <f t="shared" ref="C61" si="118">SUM(C59:C60)</f>
        <v>7.5840000000456476</v>
      </c>
      <c r="D61" s="300">
        <f t="shared" ref="D61" si="119">SUM(D59:D60)</f>
        <v>9.2250000000016001</v>
      </c>
      <c r="E61" s="300">
        <f t="shared" si="113"/>
        <v>157.2129999995164</v>
      </c>
      <c r="F61" s="300"/>
      <c r="G61" s="300">
        <f>SUM(G59:G60)</f>
        <v>146.77699999944582</v>
      </c>
      <c r="H61" s="300">
        <f t="shared" ref="H61" si="120">SUM(H59:H60)</f>
        <v>8.0820000000345438</v>
      </c>
      <c r="I61" s="300">
        <f t="shared" ref="I61" si="121">SUM(I59:I60)</f>
        <v>14.715000000151379</v>
      </c>
      <c r="J61" s="300">
        <f t="shared" si="114"/>
        <v>169.57399999963175</v>
      </c>
      <c r="K61" s="300"/>
      <c r="L61" s="300">
        <f>SUM(L59:L60)</f>
        <v>139.5469999995565</v>
      </c>
      <c r="M61" s="300">
        <f t="shared" ref="M61" si="122">SUM(M59:M60)</f>
        <v>10.045000000040368</v>
      </c>
      <c r="N61" s="300">
        <f t="shared" ref="N61" si="123">SUM(N59:N60)</f>
        <v>7.7159999999522455</v>
      </c>
      <c r="O61" s="300">
        <f t="shared" si="115"/>
        <v>157.30799999954911</v>
      </c>
      <c r="P61" s="300"/>
      <c r="Q61" s="300">
        <f>SUM(Q59:Q60)</f>
        <v>142.66900000055139</v>
      </c>
      <c r="R61" s="300">
        <f t="shared" ref="R61" si="124">SUM(R59:R60)</f>
        <v>10.374000000062598</v>
      </c>
      <c r="S61" s="300">
        <f t="shared" ref="S61" si="125">SUM(S59:S60)</f>
        <v>8.0449999999101944</v>
      </c>
      <c r="T61" s="300">
        <f t="shared" si="116"/>
        <v>161.0880000005242</v>
      </c>
      <c r="U61" s="300"/>
      <c r="V61" s="300">
        <f>SUM(V59:V60)</f>
        <v>124.57600000012235</v>
      </c>
      <c r="W61" s="300">
        <f t="shared" ref="W61" si="126">SUM(W59:W60)</f>
        <v>9.2529999999627464</v>
      </c>
      <c r="X61" s="300">
        <f t="shared" ref="X61" si="127">SUM(X59:X60)</f>
        <v>7.2639999999463445</v>
      </c>
      <c r="Y61" s="300">
        <f t="shared" si="117"/>
        <v>141.09300000003145</v>
      </c>
    </row>
    <row r="62" spans="1:25" ht="12.45" x14ac:dyDescent="0.3">
      <c r="C62" s="263"/>
    </row>
    <row r="63" spans="1:25" x14ac:dyDescent="0.35">
      <c r="A63" s="261" t="s">
        <v>371</v>
      </c>
    </row>
    <row r="64" spans="1:25" ht="12.45" x14ac:dyDescent="0.3">
      <c r="A64" s="260" t="s">
        <v>356</v>
      </c>
      <c r="B64" s="300">
        <f>SUM(B49,B54,B59)</f>
        <v>54.854999999604871</v>
      </c>
      <c r="C64" s="300">
        <f t="shared" ref="C64:D65" si="128">SUM(C49,C54,C59)</f>
        <v>13.798000000155918</v>
      </c>
      <c r="D64" s="300">
        <f t="shared" si="128"/>
        <v>3.0100000000215354</v>
      </c>
      <c r="E64" s="300">
        <f>SUM(B64:D64)</f>
        <v>71.662999999782329</v>
      </c>
      <c r="F64" s="300"/>
      <c r="G64" s="300">
        <f>SUM(G49,G54,G59)</f>
        <v>53.267999999327728</v>
      </c>
      <c r="H64" s="300">
        <f t="shared" ref="H64:I64" si="129">SUM(H49,H54,H59)</f>
        <v>14.314000000162908</v>
      </c>
      <c r="I64" s="300">
        <f t="shared" si="129"/>
        <v>7.0720000000657102</v>
      </c>
      <c r="J64" s="300">
        <f>SUM(G64:I64)</f>
        <v>74.653999999556348</v>
      </c>
      <c r="K64" s="300"/>
      <c r="L64" s="300">
        <f>SUM(L49,L54,L59)</f>
        <v>56.690999999561228</v>
      </c>
      <c r="M64" s="300">
        <f t="shared" ref="M64:N64" si="130">SUM(M49,M54,M59)</f>
        <v>14.433000000131958</v>
      </c>
      <c r="N64" s="300">
        <f t="shared" si="130"/>
        <v>6.6429999999334335</v>
      </c>
      <c r="O64" s="300">
        <f>SUM(L64:N64)</f>
        <v>77.76699999962662</v>
      </c>
      <c r="P64" s="300"/>
      <c r="Q64" s="300">
        <f>SUM(Q49,Q54,Q59)</f>
        <v>56.908000001092546</v>
      </c>
      <c r="R64" s="300">
        <f t="shared" ref="R64:S64" si="131">SUM(R49,R54,R59)</f>
        <v>14.615000000219226</v>
      </c>
      <c r="S64" s="300">
        <f t="shared" si="131"/>
        <v>6.7679999999872571</v>
      </c>
      <c r="T64" s="300">
        <f>SUM(Q64:S64)</f>
        <v>78.291000001299025</v>
      </c>
      <c r="U64" s="300"/>
      <c r="V64" s="300">
        <f>SUM(V49,V54,V59)</f>
        <v>48.851000000091055</v>
      </c>
      <c r="W64" s="300">
        <f t="shared" ref="W64:X64" si="132">SUM(W49,W54,W59)</f>
        <v>12.890999999925558</v>
      </c>
      <c r="X64" s="300">
        <f t="shared" si="132"/>
        <v>6.2539999999703486</v>
      </c>
      <c r="Y64" s="300">
        <f>SUM(V64:X64)</f>
        <v>67.995999999986964</v>
      </c>
    </row>
    <row r="65" spans="1:25" ht="12.45" x14ac:dyDescent="0.3">
      <c r="A65" s="260" t="s">
        <v>355</v>
      </c>
      <c r="B65" s="300">
        <f>SUM(B50,B55,B60)</f>
        <v>238.15399999915269</v>
      </c>
      <c r="C65" s="300">
        <f t="shared" si="128"/>
        <v>8.0289999999970387</v>
      </c>
      <c r="D65" s="300">
        <f t="shared" si="128"/>
        <v>13.309000000051888</v>
      </c>
      <c r="E65" s="300">
        <f t="shared" ref="E65:E66" si="133">SUM(B65:D65)</f>
        <v>259.4919999992016</v>
      </c>
      <c r="F65" s="300"/>
      <c r="G65" s="300">
        <f>SUM(G50,G55,G60)</f>
        <v>236.67199999946672</v>
      </c>
      <c r="H65" s="300">
        <f t="shared" ref="H65:I65" si="134">SUM(H50,H55,H60)</f>
        <v>7.2309999999922265</v>
      </c>
      <c r="I65" s="300">
        <f t="shared" si="134"/>
        <v>20.145000000144979</v>
      </c>
      <c r="J65" s="300">
        <f t="shared" ref="J65:J66" si="135">SUM(G65:I65)</f>
        <v>264.04799999960392</v>
      </c>
      <c r="K65" s="300"/>
      <c r="L65" s="300">
        <f>SUM(L50,L55,L60)</f>
        <v>225.09899999946379</v>
      </c>
      <c r="M65" s="300">
        <f t="shared" ref="M65:N65" si="136">SUM(M50,M55,M60)</f>
        <v>10.263999999973997</v>
      </c>
      <c r="N65" s="300">
        <f t="shared" si="136"/>
        <v>9.5260000000167437</v>
      </c>
      <c r="O65" s="300">
        <f t="shared" ref="O65:O66" si="137">SUM(L65:N65)</f>
        <v>244.88899999945454</v>
      </c>
      <c r="P65" s="300"/>
      <c r="Q65" s="300">
        <f>SUM(Q50,Q55,Q60)</f>
        <v>229.77600000015337</v>
      </c>
      <c r="R65" s="300">
        <f t="shared" ref="R65:S65" si="138">SUM(R50,R55,R60)</f>
        <v>10.740999999980534</v>
      </c>
      <c r="S65" s="300">
        <f t="shared" si="138"/>
        <v>10.17700000000649</v>
      </c>
      <c r="T65" s="300">
        <f t="shared" ref="T65:T66" si="139">SUM(Q65:S65)</f>
        <v>250.69400000014042</v>
      </c>
      <c r="U65" s="300"/>
      <c r="V65" s="300">
        <f>SUM(V50,V55,V60)</f>
        <v>202.57100000019415</v>
      </c>
      <c r="W65" s="300">
        <f t="shared" ref="W65:X65" si="140">SUM(W50,W55,W60)</f>
        <v>10.060999999965148</v>
      </c>
      <c r="X65" s="300">
        <f t="shared" si="140"/>
        <v>9.5480000000150476</v>
      </c>
      <c r="Y65" s="300">
        <f t="shared" ref="Y65:Y66" si="141">SUM(V65:X65)</f>
        <v>222.18000000017432</v>
      </c>
    </row>
    <row r="66" spans="1:25" ht="12.45" x14ac:dyDescent="0.3">
      <c r="A66" s="264" t="s">
        <v>354</v>
      </c>
      <c r="B66" s="301">
        <f>SUM(B64:B65)</f>
        <v>293.00899999875753</v>
      </c>
      <c r="C66" s="301">
        <f t="shared" ref="C66" si="142">SUM(C64:C65)</f>
        <v>21.827000000152957</v>
      </c>
      <c r="D66" s="301">
        <f t="shared" ref="D66" si="143">SUM(D64:D65)</f>
        <v>16.319000000073423</v>
      </c>
      <c r="E66" s="301">
        <f t="shared" si="133"/>
        <v>331.1549999989839</v>
      </c>
      <c r="F66" s="301"/>
      <c r="G66" s="301">
        <f>SUM(G64:G65)</f>
        <v>289.93999999879446</v>
      </c>
      <c r="H66" s="301">
        <f t="shared" ref="H66" si="144">SUM(H64:H65)</f>
        <v>21.545000000155135</v>
      </c>
      <c r="I66" s="301">
        <f t="shared" ref="I66" si="145">SUM(I64:I65)</f>
        <v>27.217000000210689</v>
      </c>
      <c r="J66" s="301">
        <f t="shared" si="135"/>
        <v>338.70199999916031</v>
      </c>
      <c r="K66" s="301"/>
      <c r="L66" s="301">
        <f>SUM(L64:L65)</f>
        <v>281.78999999902499</v>
      </c>
      <c r="M66" s="301">
        <f t="shared" ref="M66" si="146">SUM(M64:M65)</f>
        <v>24.697000000105955</v>
      </c>
      <c r="N66" s="301">
        <f t="shared" ref="N66" si="147">SUM(N64:N65)</f>
        <v>16.168999999950177</v>
      </c>
      <c r="O66" s="301">
        <f t="shared" si="137"/>
        <v>322.65599999908113</v>
      </c>
      <c r="P66" s="301"/>
      <c r="Q66" s="301">
        <f>SUM(Q64:Q65)</f>
        <v>286.68400000124592</v>
      </c>
      <c r="R66" s="301">
        <f t="shared" ref="R66" si="148">SUM(R64:R65)</f>
        <v>25.35600000019976</v>
      </c>
      <c r="S66" s="301">
        <f t="shared" ref="S66" si="149">SUM(S64:S65)</f>
        <v>16.944999999993748</v>
      </c>
      <c r="T66" s="301">
        <f t="shared" si="139"/>
        <v>328.9850000014394</v>
      </c>
      <c r="U66" s="301"/>
      <c r="V66" s="301">
        <f>SUM(V64:V65)</f>
        <v>251.42200000028521</v>
      </c>
      <c r="W66" s="301">
        <f t="shared" ref="W66" si="150">SUM(W64:W65)</f>
        <v>22.951999999890706</v>
      </c>
      <c r="X66" s="301">
        <f t="shared" ref="X66" si="151">SUM(X64:X65)</f>
        <v>15.801999999985396</v>
      </c>
      <c r="Y66" s="301">
        <f t="shared" si="141"/>
        <v>290.17600000016131</v>
      </c>
    </row>
    <row r="67" spans="1:25" ht="12.45" x14ac:dyDescent="0.3">
      <c r="C67" s="263"/>
    </row>
    <row r="68" spans="1:25" ht="12.45" x14ac:dyDescent="0.3">
      <c r="C68" s="263"/>
    </row>
    <row r="69" spans="1:25" x14ac:dyDescent="0.35">
      <c r="A69" s="261"/>
    </row>
    <row r="70" spans="1:25" ht="14.15" x14ac:dyDescent="0.35">
      <c r="A70" s="265" t="str">
        <f>"Industry 5 : "&amp; name!B8</f>
        <v>Industry 5 : Rest of manufacturing</v>
      </c>
      <c r="B70" s="372">
        <f>$B$5</f>
        <v>2015</v>
      </c>
      <c r="C70" s="372"/>
      <c r="D70" s="372"/>
      <c r="E70" s="372"/>
      <c r="F70" s="320"/>
      <c r="G70" s="372">
        <f>$G$5</f>
        <v>2019</v>
      </c>
      <c r="H70" s="372"/>
      <c r="I70" s="372"/>
      <c r="J70" s="372"/>
      <c r="K70" s="320"/>
      <c r="L70" s="372">
        <f>$L$5</f>
        <v>2020</v>
      </c>
      <c r="M70" s="372"/>
      <c r="N70" s="372"/>
      <c r="O70" s="372"/>
      <c r="P70" s="318"/>
      <c r="Q70" s="372">
        <f>$Q$5</f>
        <v>2025</v>
      </c>
      <c r="R70" s="372"/>
      <c r="S70" s="372"/>
      <c r="T70" s="372"/>
      <c r="U70" s="320"/>
      <c r="V70" s="372">
        <f>$V$5</f>
        <v>2035</v>
      </c>
      <c r="W70" s="372"/>
      <c r="X70" s="372"/>
      <c r="Y70" s="372"/>
    </row>
    <row r="71" spans="1:25" ht="12.45" x14ac:dyDescent="0.3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ht="12.45" x14ac:dyDescent="0.3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ht="12.45" x14ac:dyDescent="0.3">
      <c r="A73" s="261" t="str">
        <f>name!A8</f>
        <v>Textiles</v>
      </c>
      <c r="C73" s="263"/>
    </row>
    <row r="74" spans="1:25" ht="12.45" x14ac:dyDescent="0.3">
      <c r="A74" s="260" t="s">
        <v>356</v>
      </c>
      <c r="B74" s="300">
        <v>9.0369999999681223</v>
      </c>
      <c r="C74" s="300">
        <v>3.8590000000940679</v>
      </c>
      <c r="D74" s="300">
        <v>6.1050000001012341</v>
      </c>
      <c r="E74" s="300">
        <f>SUM(B74:D74)</f>
        <v>19.001000000163426</v>
      </c>
      <c r="F74" s="300"/>
      <c r="G74" s="300">
        <v>9.9129999998401637</v>
      </c>
      <c r="H74" s="300">
        <v>4.7390000000648236</v>
      </c>
      <c r="I74" s="300">
        <v>8.2460000001053455</v>
      </c>
      <c r="J74" s="300">
        <f>SUM(G74:I74)</f>
        <v>22.898000000010335</v>
      </c>
      <c r="K74" s="300"/>
      <c r="L74" s="300">
        <v>9.7479999999331053</v>
      </c>
      <c r="M74" s="300">
        <v>5.2270000001071155</v>
      </c>
      <c r="N74" s="300">
        <v>9.022999999937138</v>
      </c>
      <c r="O74" s="300">
        <f>SUM(L74:N74)</f>
        <v>23.99799999997736</v>
      </c>
      <c r="P74" s="300"/>
      <c r="Q74" s="300">
        <v>8.6670000002322425</v>
      </c>
      <c r="R74" s="300">
        <v>4.5140000001402578</v>
      </c>
      <c r="S74" s="300">
        <v>7.863000000042816</v>
      </c>
      <c r="T74" s="300">
        <f>SUM(Q74:S74)</f>
        <v>21.044000000415316</v>
      </c>
      <c r="U74" s="300"/>
      <c r="V74" s="300">
        <v>7.5399999999801093</v>
      </c>
      <c r="W74" s="300">
        <v>3.9059999999805033</v>
      </c>
      <c r="X74" s="300">
        <v>6.6680000000630386</v>
      </c>
      <c r="Y74" s="300">
        <f>SUM(V74:X74)</f>
        <v>18.114000000023651</v>
      </c>
    </row>
    <row r="75" spans="1:25" ht="12.45" x14ac:dyDescent="0.3">
      <c r="A75" s="260" t="s">
        <v>355</v>
      </c>
      <c r="B75" s="300">
        <v>23.93899999998051</v>
      </c>
      <c r="C75" s="300">
        <v>1.2980000000180918</v>
      </c>
      <c r="D75" s="300">
        <v>5.2200000000212805</v>
      </c>
      <c r="E75" s="300">
        <f t="shared" ref="E75:E76" si="152">SUM(B75:D75)</f>
        <v>30.457000000019882</v>
      </c>
      <c r="F75" s="300"/>
      <c r="G75" s="300">
        <v>26.250000000010012</v>
      </c>
      <c r="H75" s="300">
        <v>1.4780000000067741</v>
      </c>
      <c r="I75" s="300">
        <v>3.2610000000263257</v>
      </c>
      <c r="J75" s="300">
        <f t="shared" ref="J75:J76" si="153">SUM(G75:I75)</f>
        <v>30.989000000043109</v>
      </c>
      <c r="K75" s="300"/>
      <c r="L75" s="300">
        <v>25.943000000015122</v>
      </c>
      <c r="M75" s="300">
        <v>3.5040000000024736</v>
      </c>
      <c r="N75" s="300">
        <v>3.3760000000069201</v>
      </c>
      <c r="O75" s="300">
        <f t="shared" ref="O75:O76" si="154">SUM(L75:N75)</f>
        <v>32.823000000024514</v>
      </c>
      <c r="P75" s="300"/>
      <c r="Q75" s="300">
        <v>23.189000000062176</v>
      </c>
      <c r="R75" s="300">
        <v>3.0279999999975526</v>
      </c>
      <c r="S75" s="300">
        <v>2.9790000000094623</v>
      </c>
      <c r="T75" s="300">
        <f t="shared" ref="T75:T76" si="155">SUM(Q75:S75)</f>
        <v>29.196000000069191</v>
      </c>
      <c r="U75" s="300"/>
      <c r="V75" s="300">
        <v>19.764000000038045</v>
      </c>
      <c r="W75" s="300">
        <v>2.6599999999984369</v>
      </c>
      <c r="X75" s="300">
        <v>2.4460000000075075</v>
      </c>
      <c r="Y75" s="300">
        <f t="shared" ref="Y75:Y76" si="156">SUM(V75:X75)</f>
        <v>24.870000000043991</v>
      </c>
    </row>
    <row r="76" spans="1:25" ht="12.45" x14ac:dyDescent="0.3">
      <c r="A76" s="260" t="s">
        <v>354</v>
      </c>
      <c r="B76" s="300">
        <f>SUM(B74:B75)</f>
        <v>32.975999999948634</v>
      </c>
      <c r="C76" s="300">
        <f t="shared" ref="C76" si="157">SUM(C74:C75)</f>
        <v>5.1570000001121592</v>
      </c>
      <c r="D76" s="300">
        <f t="shared" ref="D76" si="158">SUM(D74:D75)</f>
        <v>11.325000000122515</v>
      </c>
      <c r="E76" s="300">
        <f t="shared" si="152"/>
        <v>49.458000000183304</v>
      </c>
      <c r="F76" s="300"/>
      <c r="G76" s="300">
        <f>SUM(G74:G75)</f>
        <v>36.162999999850172</v>
      </c>
      <c r="H76" s="300">
        <f t="shared" ref="H76" si="159">SUM(H74:H75)</f>
        <v>6.2170000000715975</v>
      </c>
      <c r="I76" s="300">
        <f t="shared" ref="I76" si="160">SUM(I74:I75)</f>
        <v>11.507000000131672</v>
      </c>
      <c r="J76" s="300">
        <f t="shared" si="153"/>
        <v>53.887000000053447</v>
      </c>
      <c r="K76" s="300"/>
      <c r="L76" s="300">
        <f>SUM(L74:L75)</f>
        <v>35.690999999948225</v>
      </c>
      <c r="M76" s="300">
        <f t="shared" ref="M76" si="161">SUM(M74:M75)</f>
        <v>8.7310000001095887</v>
      </c>
      <c r="N76" s="300">
        <f t="shared" ref="N76" si="162">SUM(N74:N75)</f>
        <v>12.398999999944058</v>
      </c>
      <c r="O76" s="300">
        <f t="shared" si="154"/>
        <v>56.821000000001874</v>
      </c>
      <c r="P76" s="300"/>
      <c r="Q76" s="300">
        <f>SUM(Q74:Q75)</f>
        <v>31.856000000294419</v>
      </c>
      <c r="R76" s="300">
        <f t="shared" ref="R76" si="163">SUM(R74:R75)</f>
        <v>7.5420000001378105</v>
      </c>
      <c r="S76" s="300">
        <f t="shared" ref="S76" si="164">SUM(S74:S75)</f>
        <v>10.842000000052279</v>
      </c>
      <c r="T76" s="300">
        <f t="shared" si="155"/>
        <v>50.240000000484507</v>
      </c>
      <c r="U76" s="300"/>
      <c r="V76" s="300">
        <f>SUM(V74:V75)</f>
        <v>27.304000000018156</v>
      </c>
      <c r="W76" s="300">
        <f t="shared" ref="W76" si="165">SUM(W74:W75)</f>
        <v>6.5659999999789402</v>
      </c>
      <c r="X76" s="300">
        <f t="shared" ref="X76" si="166">SUM(X74:X75)</f>
        <v>9.114000000070547</v>
      </c>
      <c r="Y76" s="300">
        <f t="shared" si="156"/>
        <v>42.984000000067645</v>
      </c>
    </row>
    <row r="77" spans="1:25" ht="12.45" x14ac:dyDescent="0.3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ht="12.45" x14ac:dyDescent="0.3">
      <c r="A78" s="261" t="str">
        <f>name!A9</f>
        <v>Wearing apparel; Leather, etc</v>
      </c>
      <c r="C78" s="263"/>
    </row>
    <row r="79" spans="1:25" ht="12.45" x14ac:dyDescent="0.3">
      <c r="A79" s="260" t="s">
        <v>356</v>
      </c>
      <c r="B79" s="300">
        <v>18.970999999950809</v>
      </c>
      <c r="C79" s="300">
        <v>6.3510000001797557</v>
      </c>
      <c r="D79" s="300">
        <v>4.8680000000836898</v>
      </c>
      <c r="E79" s="300">
        <f>SUM(B79:D79)</f>
        <v>30.190000000214255</v>
      </c>
      <c r="F79" s="300"/>
      <c r="G79" s="300">
        <v>17.876999999934952</v>
      </c>
      <c r="H79" s="300">
        <v>4.8790000000577844</v>
      </c>
      <c r="I79" s="300">
        <v>6.342000000116558</v>
      </c>
      <c r="J79" s="300">
        <f>SUM(G79:I79)</f>
        <v>29.098000000109295</v>
      </c>
      <c r="K79" s="300"/>
      <c r="L79" s="300">
        <v>17.6229999999561</v>
      </c>
      <c r="M79" s="300">
        <v>5.2710000001501456</v>
      </c>
      <c r="N79" s="300">
        <v>6.5539999998571519</v>
      </c>
      <c r="O79" s="300">
        <f>SUM(L79:N79)</f>
        <v>29.447999999963397</v>
      </c>
      <c r="P79" s="300"/>
      <c r="Q79" s="300">
        <v>15.676000000093504</v>
      </c>
      <c r="R79" s="300">
        <v>4.5330000001118247</v>
      </c>
      <c r="S79" s="300">
        <v>5.701999999982295</v>
      </c>
      <c r="T79" s="300">
        <f>SUM(Q79:S79)</f>
        <v>25.911000000187624</v>
      </c>
      <c r="U79" s="300"/>
      <c r="V79" s="300">
        <v>13.622000000055129</v>
      </c>
      <c r="W79" s="300">
        <v>3.8779999999494374</v>
      </c>
      <c r="X79" s="300">
        <v>4.8360000000541614</v>
      </c>
      <c r="Y79" s="300">
        <f>SUM(V79:X79)</f>
        <v>22.336000000058725</v>
      </c>
    </row>
    <row r="80" spans="1:25" ht="12.45" x14ac:dyDescent="0.3">
      <c r="A80" s="260" t="s">
        <v>355</v>
      </c>
      <c r="B80" s="300">
        <v>12.553000000055217</v>
      </c>
      <c r="C80" s="300">
        <v>2.7670000000789461</v>
      </c>
      <c r="D80" s="300">
        <v>2.9110000000221068</v>
      </c>
      <c r="E80" s="300">
        <f t="shared" ref="E80:E81" si="167">SUM(B80:D80)</f>
        <v>18.231000000156271</v>
      </c>
      <c r="F80" s="300"/>
      <c r="G80" s="300">
        <v>11.982000000036917</v>
      </c>
      <c r="H80" s="300">
        <v>1.5140000000235421</v>
      </c>
      <c r="I80" s="300">
        <v>1.7670000000192057</v>
      </c>
      <c r="J80" s="300">
        <f t="shared" ref="J80:J81" si="168">SUM(G80:I80)</f>
        <v>15.263000000079664</v>
      </c>
      <c r="K80" s="300"/>
      <c r="L80" s="300">
        <v>11.888000000034888</v>
      </c>
      <c r="M80" s="300">
        <v>3.5320000000165508</v>
      </c>
      <c r="N80" s="300">
        <v>4.4109999999948641</v>
      </c>
      <c r="O80" s="300">
        <f t="shared" ref="O80:O81" si="169">SUM(L80:N80)</f>
        <v>19.831000000046302</v>
      </c>
      <c r="P80" s="300"/>
      <c r="Q80" s="300">
        <v>10.619000000034388</v>
      </c>
      <c r="R80" s="300">
        <v>3.0420000000062211</v>
      </c>
      <c r="S80" s="300">
        <v>4.0449999999807273</v>
      </c>
      <c r="T80" s="300">
        <f t="shared" ref="T80:T81" si="170">SUM(Q80:S80)</f>
        <v>17.706000000021337</v>
      </c>
      <c r="U80" s="300"/>
      <c r="V80" s="300">
        <v>9.0570000000267523</v>
      </c>
      <c r="W80" s="300">
        <v>2.6620000000059538</v>
      </c>
      <c r="X80" s="300">
        <v>3.5749999999939375</v>
      </c>
      <c r="Y80" s="300">
        <f t="shared" ref="Y80:Y81" si="171">SUM(V80:X80)</f>
        <v>15.294000000026642</v>
      </c>
    </row>
    <row r="81" spans="1:25" ht="12.45" x14ac:dyDescent="0.3">
      <c r="A81" s="260" t="s">
        <v>354</v>
      </c>
      <c r="B81" s="300">
        <f>SUM(B79:B80)</f>
        <v>31.524000000006026</v>
      </c>
      <c r="C81" s="300">
        <f t="shared" ref="C81" si="172">SUM(C79:C80)</f>
        <v>9.1180000002587018</v>
      </c>
      <c r="D81" s="300">
        <f t="shared" ref="D81" si="173">SUM(D79:D80)</f>
        <v>7.7790000001057962</v>
      </c>
      <c r="E81" s="300">
        <f t="shared" si="167"/>
        <v>48.421000000370526</v>
      </c>
      <c r="F81" s="300"/>
      <c r="G81" s="300">
        <f>SUM(G79:G80)</f>
        <v>29.858999999971871</v>
      </c>
      <c r="H81" s="300">
        <f t="shared" ref="H81" si="174">SUM(H79:H80)</f>
        <v>6.3930000000813267</v>
      </c>
      <c r="I81" s="300">
        <f t="shared" ref="I81" si="175">SUM(I79:I80)</f>
        <v>8.1090000001357634</v>
      </c>
      <c r="J81" s="300">
        <f t="shared" si="168"/>
        <v>44.361000000188966</v>
      </c>
      <c r="K81" s="300"/>
      <c r="L81" s="300">
        <f>SUM(L79:L80)</f>
        <v>29.510999999990986</v>
      </c>
      <c r="M81" s="300">
        <f t="shared" ref="M81" si="176">SUM(M79:M80)</f>
        <v>8.8030000001666959</v>
      </c>
      <c r="N81" s="300">
        <f t="shared" ref="N81" si="177">SUM(N79:N80)</f>
        <v>10.964999999852015</v>
      </c>
      <c r="O81" s="300">
        <f t="shared" si="169"/>
        <v>49.279000000009702</v>
      </c>
      <c r="P81" s="300"/>
      <c r="Q81" s="300">
        <f>SUM(Q79:Q80)</f>
        <v>26.295000000127892</v>
      </c>
      <c r="R81" s="300">
        <f t="shared" ref="R81" si="178">SUM(R79:R80)</f>
        <v>7.5750000001180453</v>
      </c>
      <c r="S81" s="300">
        <f t="shared" ref="S81" si="179">SUM(S79:S80)</f>
        <v>9.7469999999630232</v>
      </c>
      <c r="T81" s="300">
        <f t="shared" si="170"/>
        <v>43.617000000208961</v>
      </c>
      <c r="U81" s="300"/>
      <c r="V81" s="300">
        <f>SUM(V79:V80)</f>
        <v>22.679000000081881</v>
      </c>
      <c r="W81" s="300">
        <f t="shared" ref="W81" si="180">SUM(W79:W80)</f>
        <v>6.5399999999553913</v>
      </c>
      <c r="X81" s="300">
        <f t="shared" ref="X81" si="181">SUM(X79:X80)</f>
        <v>8.411000000048098</v>
      </c>
      <c r="Y81" s="300">
        <f t="shared" si="171"/>
        <v>37.630000000085374</v>
      </c>
    </row>
    <row r="82" spans="1:25" ht="12.45" x14ac:dyDescent="0.3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ht="12.45" x14ac:dyDescent="0.3">
      <c r="A83" s="261" t="str">
        <f>name!A10</f>
        <v xml:space="preserve">Wood and cork </v>
      </c>
      <c r="C83" s="263"/>
    </row>
    <row r="84" spans="1:25" ht="12.45" x14ac:dyDescent="0.3">
      <c r="A84" s="260" t="s">
        <v>356</v>
      </c>
      <c r="B84" s="300">
        <v>7.4289999999387453</v>
      </c>
      <c r="C84" s="300">
        <v>5.3670000000687708</v>
      </c>
      <c r="D84" s="300">
        <v>0.41400000001082737</v>
      </c>
      <c r="E84" s="300">
        <f>SUM(B84:D84)</f>
        <v>13.210000000018344</v>
      </c>
      <c r="F84" s="300"/>
      <c r="G84" s="300">
        <v>9.8229999998831037</v>
      </c>
      <c r="H84" s="300">
        <v>6.0140000000392178</v>
      </c>
      <c r="I84" s="300">
        <v>1.7740000000503646</v>
      </c>
      <c r="J84" s="300">
        <f>SUM(G84:I84)</f>
        <v>17.610999999972687</v>
      </c>
      <c r="K84" s="300"/>
      <c r="L84" s="300">
        <v>9.7769999999257831</v>
      </c>
      <c r="M84" s="300">
        <v>3.6760000000282944</v>
      </c>
      <c r="N84" s="300">
        <v>0.50299999999246614</v>
      </c>
      <c r="O84" s="300">
        <f>SUM(L84:N84)</f>
        <v>13.955999999946544</v>
      </c>
      <c r="P84" s="300"/>
      <c r="Q84" s="300">
        <v>9.9830000001241661</v>
      </c>
      <c r="R84" s="300">
        <v>3.7170000000609078</v>
      </c>
      <c r="S84" s="300">
        <v>0.53000000000408021</v>
      </c>
      <c r="T84" s="300">
        <f>SUM(Q84:S84)</f>
        <v>14.230000000189154</v>
      </c>
      <c r="U84" s="300"/>
      <c r="V84" s="300">
        <v>9.8730000000448825</v>
      </c>
      <c r="W84" s="300">
        <v>3.6699999999826649</v>
      </c>
      <c r="X84" s="300">
        <v>0.57000000000173612</v>
      </c>
      <c r="Y84" s="300">
        <f>SUM(V84:X84)</f>
        <v>14.113000000029283</v>
      </c>
    </row>
    <row r="85" spans="1:25" ht="12.45" x14ac:dyDescent="0.3">
      <c r="A85" s="260" t="s">
        <v>355</v>
      </c>
      <c r="B85" s="300">
        <v>41.264000000010356</v>
      </c>
      <c r="C85" s="300">
        <v>2.0330000000260786</v>
      </c>
      <c r="D85" s="300">
        <v>9.8509999998275894</v>
      </c>
      <c r="E85" s="300">
        <f t="shared" ref="E85:E86" si="182">SUM(B85:D85)</f>
        <v>53.147999999864027</v>
      </c>
      <c r="F85" s="300"/>
      <c r="G85" s="300">
        <v>46.60900000010836</v>
      </c>
      <c r="H85" s="300">
        <v>3.0130000000349138</v>
      </c>
      <c r="I85" s="300">
        <v>6.8490000000841942</v>
      </c>
      <c r="J85" s="300">
        <f t="shared" ref="J85:J86" si="183">SUM(G85:I85)</f>
        <v>56.47100000022747</v>
      </c>
      <c r="K85" s="300"/>
      <c r="L85" s="300">
        <v>45.105000000181349</v>
      </c>
      <c r="M85" s="300">
        <v>3.3250000000148461</v>
      </c>
      <c r="N85" s="300">
        <v>14.32599999974931</v>
      </c>
      <c r="O85" s="300">
        <f t="shared" ref="O85:O86" si="184">SUM(L85:N85)</f>
        <v>62.755999999945502</v>
      </c>
      <c r="P85" s="300"/>
      <c r="Q85" s="300">
        <v>44.996000000293265</v>
      </c>
      <c r="R85" s="300">
        <v>3.4050000000181639</v>
      </c>
      <c r="S85" s="300">
        <v>13.716999999318642</v>
      </c>
      <c r="T85" s="300">
        <f t="shared" ref="T85:T86" si="185">SUM(Q85:S85)</f>
        <v>62.117999999630072</v>
      </c>
      <c r="U85" s="300"/>
      <c r="V85" s="300">
        <v>43.152000000292389</v>
      </c>
      <c r="W85" s="300">
        <v>3.4020000000225754</v>
      </c>
      <c r="X85" s="300">
        <v>12.83499999954314</v>
      </c>
      <c r="Y85" s="300">
        <f t="shared" ref="Y85:Y86" si="186">SUM(V85:X85)</f>
        <v>59.3889999998581</v>
      </c>
    </row>
    <row r="86" spans="1:25" ht="12.45" x14ac:dyDescent="0.3">
      <c r="A86" s="260" t="s">
        <v>354</v>
      </c>
      <c r="B86" s="300">
        <f>SUM(B84:B85)</f>
        <v>48.692999999949102</v>
      </c>
      <c r="C86" s="300">
        <f t="shared" ref="C86" si="187">SUM(C84:C85)</f>
        <v>7.4000000000948489</v>
      </c>
      <c r="D86" s="300">
        <f t="shared" ref="D86" si="188">SUM(D84:D85)</f>
        <v>10.264999999838416</v>
      </c>
      <c r="E86" s="300">
        <f t="shared" si="182"/>
        <v>66.357999999882367</v>
      </c>
      <c r="F86" s="300"/>
      <c r="G86" s="300">
        <f>SUM(G84:G85)</f>
        <v>56.431999999991461</v>
      </c>
      <c r="H86" s="300">
        <f t="shared" ref="H86" si="189">SUM(H84:H85)</f>
        <v>9.0270000000741319</v>
      </c>
      <c r="I86" s="300">
        <f t="shared" ref="I86" si="190">SUM(I84:I85)</f>
        <v>8.6230000001345584</v>
      </c>
      <c r="J86" s="300">
        <f t="shared" si="183"/>
        <v>74.082000000200154</v>
      </c>
      <c r="K86" s="300"/>
      <c r="L86" s="300">
        <f>SUM(L84:L85)</f>
        <v>54.882000000107134</v>
      </c>
      <c r="M86" s="300">
        <f t="shared" ref="M86" si="191">SUM(M84:M85)</f>
        <v>7.00100000004314</v>
      </c>
      <c r="N86" s="300">
        <f t="shared" ref="N86" si="192">SUM(N84:N85)</f>
        <v>14.828999999741777</v>
      </c>
      <c r="O86" s="300">
        <f t="shared" si="184"/>
        <v>76.711999999892058</v>
      </c>
      <c r="P86" s="300"/>
      <c r="Q86" s="300">
        <f>SUM(Q84:Q85)</f>
        <v>54.979000000417429</v>
      </c>
      <c r="R86" s="300">
        <f t="shared" ref="R86" si="193">SUM(R84:R85)</f>
        <v>7.1220000000790717</v>
      </c>
      <c r="S86" s="300">
        <f t="shared" ref="S86" si="194">SUM(S84:S85)</f>
        <v>14.246999999322721</v>
      </c>
      <c r="T86" s="300">
        <f t="shared" si="185"/>
        <v>76.347999999819223</v>
      </c>
      <c r="U86" s="300"/>
      <c r="V86" s="300">
        <f>SUM(V84:V85)</f>
        <v>53.025000000337272</v>
      </c>
      <c r="W86" s="300">
        <f t="shared" ref="W86" si="195">SUM(W84:W85)</f>
        <v>7.0720000000052403</v>
      </c>
      <c r="X86" s="300">
        <f t="shared" ref="X86" si="196">SUM(X84:X85)</f>
        <v>13.404999999544875</v>
      </c>
      <c r="Y86" s="300">
        <f t="shared" si="186"/>
        <v>73.501999999887389</v>
      </c>
    </row>
    <row r="87" spans="1:25" ht="12.45" x14ac:dyDescent="0.3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ht="12.45" x14ac:dyDescent="0.3">
      <c r="A88" s="261" t="str">
        <f>name!A11</f>
        <v>Paper, etc</v>
      </c>
      <c r="C88" s="263"/>
    </row>
    <row r="89" spans="1:25" ht="12.45" x14ac:dyDescent="0.3">
      <c r="A89" s="260" t="s">
        <v>356</v>
      </c>
      <c r="B89" s="300">
        <v>4.4629999999712666</v>
      </c>
      <c r="C89" s="300">
        <v>2.6960000000614066</v>
      </c>
      <c r="D89" s="300">
        <v>0.5580000000075227</v>
      </c>
      <c r="E89" s="300">
        <f>SUM(B89:D89)</f>
        <v>7.7170000000401959</v>
      </c>
      <c r="F89" s="300"/>
      <c r="G89" s="300">
        <v>4.5339999999268219</v>
      </c>
      <c r="H89" s="300">
        <v>1.1190000000079396</v>
      </c>
      <c r="I89" s="300">
        <v>0.83400000000825425</v>
      </c>
      <c r="J89" s="300">
        <f>SUM(G89:I89)</f>
        <v>6.4869999999430163</v>
      </c>
      <c r="K89" s="300"/>
      <c r="L89" s="300">
        <v>4.3949999999587206</v>
      </c>
      <c r="M89" s="300">
        <v>0.70800000001168084</v>
      </c>
      <c r="N89" s="300">
        <v>0.54699999999043292</v>
      </c>
      <c r="O89" s="300">
        <f>SUM(L89:N89)</f>
        <v>5.6499999999608344</v>
      </c>
      <c r="P89" s="300"/>
      <c r="Q89" s="300">
        <v>4.4520000000907816</v>
      </c>
      <c r="R89" s="300">
        <v>0.70400000001154006</v>
      </c>
      <c r="S89" s="300">
        <v>0.57299999999279538</v>
      </c>
      <c r="T89" s="300">
        <f>SUM(Q89:S89)</f>
        <v>5.7290000000951169</v>
      </c>
      <c r="U89" s="300"/>
      <c r="V89" s="300">
        <v>4.3709999999979106</v>
      </c>
      <c r="W89" s="300">
        <v>0.68599999999484162</v>
      </c>
      <c r="X89" s="300">
        <v>0.61399999999778154</v>
      </c>
      <c r="Y89" s="300">
        <f>SUM(V89:X89)</f>
        <v>5.6709999999905332</v>
      </c>
    </row>
    <row r="90" spans="1:25" ht="12.45" x14ac:dyDescent="0.3">
      <c r="A90" s="260" t="s">
        <v>355</v>
      </c>
      <c r="B90" s="300">
        <v>38.258999999978364</v>
      </c>
      <c r="C90" s="300">
        <v>1.3980000000119797</v>
      </c>
      <c r="D90" s="300">
        <v>7.5100000000928429</v>
      </c>
      <c r="E90" s="300">
        <f t="shared" ref="E90:E91" si="197">SUM(B90:D90)</f>
        <v>47.167000000083192</v>
      </c>
      <c r="F90" s="300"/>
      <c r="G90" s="300">
        <v>34.701000000003077</v>
      </c>
      <c r="H90" s="300">
        <v>1.3990000000088985</v>
      </c>
      <c r="I90" s="300">
        <v>4.003000000025418</v>
      </c>
      <c r="J90" s="300">
        <f t="shared" ref="J90:J91" si="198">SUM(G90:I90)</f>
        <v>40.10300000003739</v>
      </c>
      <c r="K90" s="300"/>
      <c r="L90" s="300">
        <v>33.638000000102934</v>
      </c>
      <c r="M90" s="300">
        <v>1.6770000000045329</v>
      </c>
      <c r="N90" s="300">
        <v>0.43500000000493827</v>
      </c>
      <c r="O90" s="300">
        <f t="shared" ref="O90:O91" si="199">SUM(L90:N90)</f>
        <v>35.750000000112408</v>
      </c>
      <c r="P90" s="300"/>
      <c r="Q90" s="300">
        <v>33.355000000174975</v>
      </c>
      <c r="R90" s="300">
        <v>1.7120000000029543</v>
      </c>
      <c r="S90" s="300">
        <v>0.50000000001471356</v>
      </c>
      <c r="T90" s="300">
        <f t="shared" ref="T90:T91" si="200">SUM(Q90:S90)</f>
        <v>35.567000000192643</v>
      </c>
      <c r="U90" s="300"/>
      <c r="V90" s="300">
        <v>31.868000000113962</v>
      </c>
      <c r="W90" s="300">
        <v>1.7120000000045315</v>
      </c>
      <c r="X90" s="300">
        <v>0.55800000001352879</v>
      </c>
      <c r="Y90" s="300">
        <f t="shared" ref="Y90:Y91" si="201">SUM(V90:X90)</f>
        <v>34.138000000132024</v>
      </c>
    </row>
    <row r="91" spans="1:25" ht="12.45" x14ac:dyDescent="0.3">
      <c r="A91" s="260" t="s">
        <v>354</v>
      </c>
      <c r="B91" s="300">
        <f>SUM(B89:B90)</f>
        <v>42.721999999949631</v>
      </c>
      <c r="C91" s="300">
        <f t="shared" ref="C91" si="202">SUM(C89:C90)</f>
        <v>4.094000000073386</v>
      </c>
      <c r="D91" s="300">
        <f t="shared" ref="D91" si="203">SUM(D89:D90)</f>
        <v>8.0680000001003656</v>
      </c>
      <c r="E91" s="300">
        <f t="shared" si="197"/>
        <v>54.884000000123379</v>
      </c>
      <c r="F91" s="300"/>
      <c r="G91" s="300">
        <f>SUM(G89:G90)</f>
        <v>39.234999999929897</v>
      </c>
      <c r="H91" s="300">
        <f t="shared" ref="H91" si="204">SUM(H89:H90)</f>
        <v>2.5180000000168379</v>
      </c>
      <c r="I91" s="300">
        <f t="shared" ref="I91" si="205">SUM(I89:I90)</f>
        <v>4.8370000000336724</v>
      </c>
      <c r="J91" s="300">
        <f t="shared" si="198"/>
        <v>46.589999999980407</v>
      </c>
      <c r="K91" s="300"/>
      <c r="L91" s="300">
        <f>SUM(L89:L90)</f>
        <v>38.033000000061655</v>
      </c>
      <c r="M91" s="300">
        <f t="shared" ref="M91" si="206">SUM(M89:M90)</f>
        <v>2.3850000000162135</v>
      </c>
      <c r="N91" s="300">
        <f t="shared" ref="N91" si="207">SUM(N89:N90)</f>
        <v>0.98199999999537124</v>
      </c>
      <c r="O91" s="300">
        <f t="shared" si="199"/>
        <v>41.400000000073241</v>
      </c>
      <c r="P91" s="300"/>
      <c r="Q91" s="300">
        <f>SUM(Q89:Q90)</f>
        <v>37.807000000265759</v>
      </c>
      <c r="R91" s="300">
        <f t="shared" ref="R91" si="208">SUM(R89:R90)</f>
        <v>2.4160000000144946</v>
      </c>
      <c r="S91" s="300">
        <f t="shared" ref="S91" si="209">SUM(S89:S90)</f>
        <v>1.0730000000075091</v>
      </c>
      <c r="T91" s="300">
        <f t="shared" si="200"/>
        <v>41.296000000287762</v>
      </c>
      <c r="U91" s="300"/>
      <c r="V91" s="300">
        <f>SUM(V89:V90)</f>
        <v>36.239000000111872</v>
      </c>
      <c r="W91" s="300">
        <f t="shared" ref="W91" si="210">SUM(W89:W90)</f>
        <v>2.3979999999993731</v>
      </c>
      <c r="X91" s="300">
        <f t="shared" ref="X91" si="211">SUM(X89:X90)</f>
        <v>1.1720000000113102</v>
      </c>
      <c r="Y91" s="300">
        <f t="shared" si="201"/>
        <v>39.809000000122552</v>
      </c>
    </row>
    <row r="92" spans="1:25" ht="12.45" x14ac:dyDescent="0.3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ht="12.45" x14ac:dyDescent="0.3">
      <c r="A93" s="261" t="str">
        <f>name!A12</f>
        <v>Printing and recording</v>
      </c>
      <c r="C93" s="263"/>
    </row>
    <row r="94" spans="1:25" ht="12.45" x14ac:dyDescent="0.3">
      <c r="A94" s="260" t="s">
        <v>356</v>
      </c>
      <c r="B94" s="300">
        <v>21.333999999774573</v>
      </c>
      <c r="C94" s="300">
        <v>8.829000000119553</v>
      </c>
      <c r="D94" s="300">
        <v>4.3480000000561203</v>
      </c>
      <c r="E94" s="300">
        <f>SUM(B94:D94)</f>
        <v>34.510999999950243</v>
      </c>
      <c r="F94" s="300"/>
      <c r="G94" s="300">
        <v>17.049999999724434</v>
      </c>
      <c r="H94" s="300">
        <v>9.2800000000851135</v>
      </c>
      <c r="I94" s="300">
        <v>0.31200000000153455</v>
      </c>
      <c r="J94" s="300">
        <f>SUM(G94:I94)</f>
        <v>26.641999999811084</v>
      </c>
      <c r="K94" s="300"/>
      <c r="L94" s="300">
        <v>15.753999999852486</v>
      </c>
      <c r="M94" s="300">
        <v>7.2230000000822763</v>
      </c>
      <c r="N94" s="300">
        <v>2.7379999999477209</v>
      </c>
      <c r="O94" s="300">
        <f>SUM(L94:N94)</f>
        <v>25.714999999882483</v>
      </c>
      <c r="P94" s="300"/>
      <c r="Q94" s="300">
        <v>14.872000000322961</v>
      </c>
      <c r="R94" s="300">
        <v>6.8510000000660476</v>
      </c>
      <c r="S94" s="300">
        <v>2.5459999999628069</v>
      </c>
      <c r="T94" s="300">
        <f>SUM(Q94:S94)</f>
        <v>24.269000000351813</v>
      </c>
      <c r="U94" s="300"/>
      <c r="V94" s="300">
        <v>13.053000000052052</v>
      </c>
      <c r="W94" s="300">
        <v>6.0699999999654208</v>
      </c>
      <c r="X94" s="300">
        <v>2.1700000000050212</v>
      </c>
      <c r="Y94" s="300">
        <f>SUM(V94:X94)</f>
        <v>21.293000000022495</v>
      </c>
    </row>
    <row r="95" spans="1:25" ht="12.45" x14ac:dyDescent="0.3">
      <c r="A95" s="260" t="s">
        <v>355</v>
      </c>
      <c r="B95" s="300">
        <v>62.483999999766155</v>
      </c>
      <c r="C95" s="300">
        <v>1.728000000015093</v>
      </c>
      <c r="D95" s="300">
        <v>10.061000000205638</v>
      </c>
      <c r="E95" s="300">
        <f t="shared" ref="E95:E96" si="212">SUM(B95:D95)</f>
        <v>74.27299999998688</v>
      </c>
      <c r="F95" s="300"/>
      <c r="G95" s="300">
        <v>49.068999999869135</v>
      </c>
      <c r="H95" s="300">
        <v>6.3220000000468541</v>
      </c>
      <c r="I95" s="300">
        <v>3.0730000000133755</v>
      </c>
      <c r="J95" s="300">
        <f t="shared" ref="J95:J96" si="213">SUM(G95:I95)</f>
        <v>58.463999999929364</v>
      </c>
      <c r="K95" s="300"/>
      <c r="L95" s="300">
        <v>45.075999999932741</v>
      </c>
      <c r="M95" s="300">
        <v>6.5870000000251752</v>
      </c>
      <c r="N95" s="300">
        <v>3.5660000000855305</v>
      </c>
      <c r="O95" s="300">
        <f t="shared" ref="O95:O96" si="214">SUM(L95:N95)</f>
        <v>55.229000000043449</v>
      </c>
      <c r="P95" s="300"/>
      <c r="Q95" s="300">
        <v>41.063000000064157</v>
      </c>
      <c r="R95" s="300">
        <v>6.223000000002699</v>
      </c>
      <c r="S95" s="300">
        <v>3.3940000001831101</v>
      </c>
      <c r="T95" s="300">
        <f t="shared" ref="T95:T96" si="215">SUM(Q95:S95)</f>
        <v>50.680000000249969</v>
      </c>
      <c r="U95" s="300"/>
      <c r="V95" s="300">
        <v>33.57200000002473</v>
      </c>
      <c r="W95" s="300">
        <v>5.4800000000043108</v>
      </c>
      <c r="X95" s="300">
        <v>3.0220000001238105</v>
      </c>
      <c r="Y95" s="300">
        <f t="shared" ref="Y95:Y96" si="216">SUM(V95:X95)</f>
        <v>42.07400000015285</v>
      </c>
    </row>
    <row r="96" spans="1:25" ht="12.45" x14ac:dyDescent="0.3">
      <c r="A96" s="260" t="s">
        <v>354</v>
      </c>
      <c r="B96" s="300">
        <f>SUM(B94:B95)</f>
        <v>83.817999999540731</v>
      </c>
      <c r="C96" s="300">
        <f t="shared" ref="C96" si="217">SUM(C94:C95)</f>
        <v>10.557000000134646</v>
      </c>
      <c r="D96" s="300">
        <f t="shared" ref="D96" si="218">SUM(D94:D95)</f>
        <v>14.409000000261759</v>
      </c>
      <c r="E96" s="300">
        <f t="shared" si="212"/>
        <v>108.78399999993714</v>
      </c>
      <c r="F96" s="300"/>
      <c r="G96" s="300">
        <f>SUM(G94:G95)</f>
        <v>66.118999999593569</v>
      </c>
      <c r="H96" s="300">
        <f t="shared" ref="H96" si="219">SUM(H94:H95)</f>
        <v>15.602000000131968</v>
      </c>
      <c r="I96" s="300">
        <f t="shared" ref="I96" si="220">SUM(I94:I95)</f>
        <v>3.3850000000149101</v>
      </c>
      <c r="J96" s="300">
        <f t="shared" si="213"/>
        <v>85.105999999740447</v>
      </c>
      <c r="K96" s="300"/>
      <c r="L96" s="300">
        <f>SUM(L94:L95)</f>
        <v>60.82999999978523</v>
      </c>
      <c r="M96" s="300">
        <f t="shared" ref="M96" si="221">SUM(M94:M95)</f>
        <v>13.810000000107451</v>
      </c>
      <c r="N96" s="300">
        <f t="shared" ref="N96" si="222">SUM(N94:N95)</f>
        <v>6.3040000000332519</v>
      </c>
      <c r="O96" s="300">
        <f t="shared" si="214"/>
        <v>80.943999999925936</v>
      </c>
      <c r="P96" s="300"/>
      <c r="Q96" s="300">
        <f>SUM(Q94:Q95)</f>
        <v>55.93500000038712</v>
      </c>
      <c r="R96" s="300">
        <f t="shared" ref="R96" si="223">SUM(R94:R95)</f>
        <v>13.074000000068747</v>
      </c>
      <c r="S96" s="300">
        <f t="shared" ref="S96" si="224">SUM(S94:S95)</f>
        <v>5.9400000001459166</v>
      </c>
      <c r="T96" s="300">
        <f t="shared" si="215"/>
        <v>74.949000000601785</v>
      </c>
      <c r="U96" s="300"/>
      <c r="V96" s="300">
        <f>SUM(V94:V95)</f>
        <v>46.625000000076781</v>
      </c>
      <c r="W96" s="300">
        <f t="shared" ref="W96" si="225">SUM(W94:W95)</f>
        <v>11.549999999969732</v>
      </c>
      <c r="X96" s="300">
        <f t="shared" ref="X96" si="226">SUM(X94:X95)</f>
        <v>5.1920000001288322</v>
      </c>
      <c r="Y96" s="300">
        <f t="shared" si="216"/>
        <v>63.367000000175338</v>
      </c>
    </row>
    <row r="97" spans="1:25" x14ac:dyDescent="0.35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45" x14ac:dyDescent="0.3">
      <c r="A98" s="261" t="str">
        <f>name!A13</f>
        <v>Coke and petroleum; Chemicals, etc</v>
      </c>
      <c r="C98" s="263"/>
    </row>
    <row r="99" spans="1:25" ht="12.45" x14ac:dyDescent="0.3">
      <c r="A99" s="260" t="s">
        <v>356</v>
      </c>
      <c r="B99" s="300">
        <v>18.675999999823773</v>
      </c>
      <c r="C99" s="300">
        <v>3.7330000000827952</v>
      </c>
      <c r="D99" s="300">
        <v>1.045000000010317</v>
      </c>
      <c r="E99" s="300">
        <f>SUM(B99:D99)</f>
        <v>23.453999999916888</v>
      </c>
      <c r="F99" s="300"/>
      <c r="G99" s="300">
        <v>20.319999999691518</v>
      </c>
      <c r="H99" s="300">
        <v>3.7480000000612161</v>
      </c>
      <c r="I99" s="300">
        <v>3.1360000000462231</v>
      </c>
      <c r="J99" s="300">
        <f>SUM(G99:I99)</f>
        <v>27.20399999979896</v>
      </c>
      <c r="K99" s="300"/>
      <c r="L99" s="300">
        <v>20.303999999769363</v>
      </c>
      <c r="M99" s="300">
        <v>4.531000000080744</v>
      </c>
      <c r="N99" s="300">
        <v>2.8309999999845212</v>
      </c>
      <c r="O99" s="300">
        <f>SUM(L99:N99)</f>
        <v>27.665999999834629</v>
      </c>
      <c r="P99" s="300"/>
      <c r="Q99" s="300">
        <v>19.688000000393622</v>
      </c>
      <c r="R99" s="300">
        <v>4.3700000001477459</v>
      </c>
      <c r="S99" s="300">
        <v>2.703000000020094</v>
      </c>
      <c r="T99" s="300">
        <f>SUM(Q99:S99)</f>
        <v>26.761000000561463</v>
      </c>
      <c r="U99" s="300"/>
      <c r="V99" s="300">
        <v>18.916000000039741</v>
      </c>
      <c r="W99" s="300">
        <v>4.1609999999971672</v>
      </c>
      <c r="X99" s="300">
        <v>2.5300000000039997</v>
      </c>
      <c r="Y99" s="300">
        <f>SUM(V99:X99)</f>
        <v>25.607000000040905</v>
      </c>
    </row>
    <row r="100" spans="1:25" ht="12.45" x14ac:dyDescent="0.3">
      <c r="A100" s="260" t="s">
        <v>355</v>
      </c>
      <c r="B100" s="300">
        <v>59.568999999792084</v>
      </c>
      <c r="C100" s="300">
        <v>1.2780000000082401</v>
      </c>
      <c r="D100" s="300">
        <v>3.7730000000438362</v>
      </c>
      <c r="E100" s="300">
        <f t="shared" ref="E100:E101" si="227">SUM(B100:D100)</f>
        <v>64.619999999844154</v>
      </c>
      <c r="F100" s="300"/>
      <c r="G100" s="300">
        <v>62.733999999827212</v>
      </c>
      <c r="H100" s="300">
        <v>1.2170000000062764</v>
      </c>
      <c r="I100" s="300">
        <v>6.1690000000454877</v>
      </c>
      <c r="J100" s="300">
        <f t="shared" ref="J100:J101" si="228">SUM(G100:I100)</f>
        <v>70.119999999878971</v>
      </c>
      <c r="K100" s="300"/>
      <c r="L100" s="300">
        <v>60.314999999766428</v>
      </c>
      <c r="M100" s="300">
        <v>2.1910000000068535</v>
      </c>
      <c r="N100" s="300">
        <v>4.871000000040266</v>
      </c>
      <c r="O100" s="300">
        <f t="shared" ref="O100:O101" si="229">SUM(L100:N100)</f>
        <v>67.376999999813549</v>
      </c>
      <c r="P100" s="300"/>
      <c r="Q100" s="300">
        <v>56.086999999993026</v>
      </c>
      <c r="R100" s="300">
        <v>2.0890000000050248</v>
      </c>
      <c r="S100" s="300">
        <v>4.5940000000806807</v>
      </c>
      <c r="T100" s="300">
        <f t="shared" ref="T100:T101" si="230">SUM(Q100:S100)</f>
        <v>62.770000000078731</v>
      </c>
      <c r="U100" s="300"/>
      <c r="V100" s="300">
        <v>49.866999999934784</v>
      </c>
      <c r="W100" s="300">
        <v>1.9940000000098141</v>
      </c>
      <c r="X100" s="300">
        <v>4.2290000000462165</v>
      </c>
      <c r="Y100" s="300">
        <f t="shared" ref="Y100:Y101" si="231">SUM(V100:X100)</f>
        <v>56.089999999990809</v>
      </c>
    </row>
    <row r="101" spans="1:25" ht="12.45" x14ac:dyDescent="0.3">
      <c r="A101" s="260" t="s">
        <v>354</v>
      </c>
      <c r="B101" s="300">
        <f>SUM(B99:B100)</f>
        <v>78.244999999615857</v>
      </c>
      <c r="C101" s="300">
        <f t="shared" ref="C101" si="232">SUM(C99:C100)</f>
        <v>5.0110000000910357</v>
      </c>
      <c r="D101" s="300">
        <f t="shared" ref="D101" si="233">SUM(D99:D100)</f>
        <v>4.8180000000541536</v>
      </c>
      <c r="E101" s="300">
        <f t="shared" si="227"/>
        <v>88.073999999761043</v>
      </c>
      <c r="F101" s="300"/>
      <c r="G101" s="300">
        <f>SUM(G99:G100)</f>
        <v>83.053999999518737</v>
      </c>
      <c r="H101" s="300">
        <f t="shared" ref="H101" si="234">SUM(H99:H100)</f>
        <v>4.9650000000674925</v>
      </c>
      <c r="I101" s="300">
        <f t="shared" ref="I101" si="235">SUM(I99:I100)</f>
        <v>9.3050000000917112</v>
      </c>
      <c r="J101" s="300">
        <f t="shared" si="228"/>
        <v>97.323999999677937</v>
      </c>
      <c r="K101" s="300"/>
      <c r="L101" s="300">
        <f>SUM(L99:L100)</f>
        <v>80.618999999535788</v>
      </c>
      <c r="M101" s="300">
        <f t="shared" ref="M101" si="236">SUM(M99:M100)</f>
        <v>6.722000000087597</v>
      </c>
      <c r="N101" s="300">
        <f t="shared" ref="N101" si="237">SUM(N99:N100)</f>
        <v>7.7020000000247872</v>
      </c>
      <c r="O101" s="300">
        <f t="shared" si="229"/>
        <v>95.042999999648174</v>
      </c>
      <c r="P101" s="300"/>
      <c r="Q101" s="300">
        <f>SUM(Q99:Q100)</f>
        <v>75.775000000386655</v>
      </c>
      <c r="R101" s="300">
        <f t="shared" ref="R101" si="238">SUM(R99:R100)</f>
        <v>6.4590000001527708</v>
      </c>
      <c r="S101" s="300">
        <f t="shared" ref="S101" si="239">SUM(S99:S100)</f>
        <v>7.2970000001007751</v>
      </c>
      <c r="T101" s="300">
        <f t="shared" si="230"/>
        <v>89.531000000640205</v>
      </c>
      <c r="U101" s="300"/>
      <c r="V101" s="300">
        <f>SUM(V99:V100)</f>
        <v>68.782999999974521</v>
      </c>
      <c r="W101" s="300">
        <f t="shared" ref="W101" si="240">SUM(W99:W100)</f>
        <v>6.1550000000069813</v>
      </c>
      <c r="X101" s="300">
        <f t="shared" ref="X101" si="241">SUM(X99:X100)</f>
        <v>6.7590000000502162</v>
      </c>
      <c r="Y101" s="300">
        <f t="shared" si="231"/>
        <v>81.697000000031721</v>
      </c>
    </row>
    <row r="102" spans="1:25" ht="12.45" x14ac:dyDescent="0.3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ht="12.45" x14ac:dyDescent="0.3">
      <c r="A103" s="261" t="str">
        <f>name!A14</f>
        <v>Pharmaceuticals</v>
      </c>
      <c r="C103" s="263"/>
    </row>
    <row r="104" spans="1:25" ht="12.45" x14ac:dyDescent="0.3">
      <c r="A104" s="260" t="s">
        <v>356</v>
      </c>
      <c r="B104" s="300">
        <v>10.404999999896535</v>
      </c>
      <c r="C104" s="300">
        <v>1.6680000000100494</v>
      </c>
      <c r="D104" s="300">
        <v>1.565000000028594</v>
      </c>
      <c r="E104" s="300">
        <f>SUM(B104:D104)</f>
        <v>13.637999999935179</v>
      </c>
      <c r="F104" s="300"/>
      <c r="G104" s="300">
        <v>12.296999999856553</v>
      </c>
      <c r="H104" s="300">
        <v>1.6010000000072091</v>
      </c>
      <c r="I104" s="300">
        <v>0.77400000001591096</v>
      </c>
      <c r="J104" s="300">
        <f>SUM(G104:I104)</f>
        <v>14.671999999879674</v>
      </c>
      <c r="K104" s="300"/>
      <c r="L104" s="300">
        <v>13.182999999912312</v>
      </c>
      <c r="M104" s="300">
        <v>1.6380000000059223</v>
      </c>
      <c r="N104" s="300">
        <v>0.77899999999322322</v>
      </c>
      <c r="O104" s="300">
        <f>SUM(L104:N104)</f>
        <v>15.599999999911457</v>
      </c>
      <c r="P104" s="300"/>
      <c r="Q104" s="300">
        <v>13.903000000117707</v>
      </c>
      <c r="R104" s="300">
        <v>1.8720000000162416</v>
      </c>
      <c r="S104" s="300">
        <v>0.89000000000811097</v>
      </c>
      <c r="T104" s="300">
        <f>SUM(Q104:S104)</f>
        <v>16.665000000142058</v>
      </c>
      <c r="U104" s="300"/>
      <c r="V104" s="300">
        <v>12.812000000085586</v>
      </c>
      <c r="W104" s="300">
        <v>2.0119999999949147</v>
      </c>
      <c r="X104" s="300">
        <v>0.9520000000003761</v>
      </c>
      <c r="Y104" s="300">
        <f>SUM(V104:X104)</f>
        <v>15.776000000080877</v>
      </c>
    </row>
    <row r="105" spans="1:25" ht="12.45" x14ac:dyDescent="0.3">
      <c r="A105" s="260" t="s">
        <v>355</v>
      </c>
      <c r="B105" s="300">
        <v>18.030999999914201</v>
      </c>
      <c r="C105" s="300">
        <v>0.87800000000786216</v>
      </c>
      <c r="D105" s="300">
        <v>1.6740000000361588</v>
      </c>
      <c r="E105" s="300">
        <f t="shared" ref="E105:E106" si="242">SUM(B105:D105)</f>
        <v>20.582999999958222</v>
      </c>
      <c r="F105" s="300"/>
      <c r="G105" s="300">
        <v>19.731999999926728</v>
      </c>
      <c r="H105" s="300">
        <v>0.83100000000475793</v>
      </c>
      <c r="I105" s="300">
        <v>3.341999999992094</v>
      </c>
      <c r="J105" s="300">
        <f t="shared" ref="J105:J106" si="243">SUM(G105:I105)</f>
        <v>23.904999999923579</v>
      </c>
      <c r="K105" s="300"/>
      <c r="L105" s="300">
        <v>21.032999999886069</v>
      </c>
      <c r="M105" s="300">
        <v>0.38300000000204354</v>
      </c>
      <c r="N105" s="300">
        <v>3.4710000000367733</v>
      </c>
      <c r="O105" s="300">
        <f t="shared" ref="O105:O106" si="244">SUM(L105:N105)</f>
        <v>24.886999999924885</v>
      </c>
      <c r="P105" s="300"/>
      <c r="Q105" s="300">
        <v>22.742999999935083</v>
      </c>
      <c r="R105" s="300">
        <v>0.46800000000154729</v>
      </c>
      <c r="S105" s="300">
        <v>3.8830000000981189</v>
      </c>
      <c r="T105" s="300">
        <f t="shared" ref="T105:T106" si="245">SUM(Q105:S105)</f>
        <v>27.09400000003475</v>
      </c>
      <c r="U105" s="300"/>
      <c r="V105" s="300">
        <v>22.032999999929388</v>
      </c>
      <c r="W105" s="300">
        <v>0.55400000000248384</v>
      </c>
      <c r="X105" s="300">
        <v>4.0530000000724575</v>
      </c>
      <c r="Y105" s="300">
        <f t="shared" ref="Y105:Y106" si="246">SUM(V105:X105)</f>
        <v>26.640000000004331</v>
      </c>
    </row>
    <row r="106" spans="1:25" ht="12.45" x14ac:dyDescent="0.3">
      <c r="A106" s="260" t="s">
        <v>354</v>
      </c>
      <c r="B106" s="300">
        <f>SUM(B104:B105)</f>
        <v>28.435999999810736</v>
      </c>
      <c r="C106" s="300">
        <f t="shared" ref="C106" si="247">SUM(C104:C105)</f>
        <v>2.5460000000179117</v>
      </c>
      <c r="D106" s="300">
        <f t="shared" ref="D106" si="248">SUM(D104:D105)</f>
        <v>3.2390000000647525</v>
      </c>
      <c r="E106" s="300">
        <f t="shared" si="242"/>
        <v>34.220999999893401</v>
      </c>
      <c r="F106" s="300"/>
      <c r="G106" s="300">
        <f>SUM(G104:G105)</f>
        <v>32.028999999783281</v>
      </c>
      <c r="H106" s="300">
        <f t="shared" ref="H106" si="249">SUM(H104:H105)</f>
        <v>2.4320000000119668</v>
      </c>
      <c r="I106" s="300">
        <f t="shared" ref="I106" si="250">SUM(I104:I105)</f>
        <v>4.1160000000080048</v>
      </c>
      <c r="J106" s="300">
        <f t="shared" si="243"/>
        <v>38.576999999803256</v>
      </c>
      <c r="K106" s="300"/>
      <c r="L106" s="300">
        <f>SUM(L104:L105)</f>
        <v>34.215999999798385</v>
      </c>
      <c r="M106" s="300">
        <f t="shared" ref="M106" si="251">SUM(M104:M105)</f>
        <v>2.021000000007966</v>
      </c>
      <c r="N106" s="300">
        <f t="shared" ref="N106" si="252">SUM(N104:N105)</f>
        <v>4.2500000000299964</v>
      </c>
      <c r="O106" s="300">
        <f t="shared" si="244"/>
        <v>40.48699999983635</v>
      </c>
      <c r="P106" s="300"/>
      <c r="Q106" s="300">
        <f>SUM(Q104:Q105)</f>
        <v>36.646000000052794</v>
      </c>
      <c r="R106" s="300">
        <f t="shared" ref="R106" si="253">SUM(R104:R105)</f>
        <v>2.3400000000177887</v>
      </c>
      <c r="S106" s="300">
        <f t="shared" ref="S106" si="254">SUM(S104:S105)</f>
        <v>4.7730000001062294</v>
      </c>
      <c r="T106" s="300">
        <f t="shared" si="245"/>
        <v>43.759000000176812</v>
      </c>
      <c r="U106" s="300"/>
      <c r="V106" s="300">
        <f>SUM(V104:V105)</f>
        <v>34.845000000014977</v>
      </c>
      <c r="W106" s="300">
        <f t="shared" ref="W106" si="255">SUM(W104:W105)</f>
        <v>2.5659999999973984</v>
      </c>
      <c r="X106" s="300">
        <f t="shared" ref="X106" si="256">SUM(X104:X105)</f>
        <v>5.0050000000728332</v>
      </c>
      <c r="Y106" s="300">
        <f t="shared" si="246"/>
        <v>42.416000000085212</v>
      </c>
    </row>
    <row r="107" spans="1:25" ht="12.45" x14ac:dyDescent="0.3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ht="12.45" x14ac:dyDescent="0.3">
      <c r="A108" s="261" t="str">
        <f>name!A15</f>
        <v>Rubber and plastic</v>
      </c>
      <c r="C108" s="263"/>
    </row>
    <row r="109" spans="1:25" ht="12.45" x14ac:dyDescent="0.3">
      <c r="A109" s="260" t="s">
        <v>356</v>
      </c>
      <c r="B109" s="300">
        <v>21.946999999843477</v>
      </c>
      <c r="C109" s="300">
        <v>6.8300000001421779</v>
      </c>
      <c r="D109" s="300">
        <v>2.8040000000484304</v>
      </c>
      <c r="E109" s="300">
        <f>SUM(B109:D109)</f>
        <v>31.581000000034084</v>
      </c>
      <c r="F109" s="300"/>
      <c r="G109" s="300">
        <v>22.036999999667334</v>
      </c>
      <c r="H109" s="300">
        <v>5.9910000000792278</v>
      </c>
      <c r="I109" s="300">
        <v>0.25300000000455736</v>
      </c>
      <c r="J109" s="300">
        <f>SUM(G109:I109)</f>
        <v>28.280999999751121</v>
      </c>
      <c r="K109" s="300"/>
      <c r="L109" s="300">
        <v>24.614999999757774</v>
      </c>
      <c r="M109" s="300">
        <v>7.4580000000948017</v>
      </c>
      <c r="N109" s="300">
        <v>1.824999999979521</v>
      </c>
      <c r="O109" s="300">
        <f>SUM(L109:N109)</f>
        <v>33.897999999832095</v>
      </c>
      <c r="P109" s="300"/>
      <c r="Q109" s="300">
        <v>23.923000000618536</v>
      </c>
      <c r="R109" s="300">
        <v>7.5080000001128155</v>
      </c>
      <c r="S109" s="300">
        <v>1.7940000000023766</v>
      </c>
      <c r="T109" s="300">
        <f>SUM(Q109:S109)</f>
        <v>33.225000000733729</v>
      </c>
      <c r="U109" s="300"/>
      <c r="V109" s="300">
        <v>20.653999999975547</v>
      </c>
      <c r="W109" s="300">
        <v>7.0419999999101401</v>
      </c>
      <c r="X109" s="300">
        <v>1.5520000000107912</v>
      </c>
      <c r="Y109" s="300">
        <f>SUM(V109:X109)</f>
        <v>29.247999999896479</v>
      </c>
    </row>
    <row r="110" spans="1:25" ht="12.45" x14ac:dyDescent="0.3">
      <c r="A110" s="260" t="s">
        <v>355</v>
      </c>
      <c r="B110" s="300">
        <v>112.28899999997583</v>
      </c>
      <c r="C110" s="300">
        <v>2.5210000000416604</v>
      </c>
      <c r="D110" s="300">
        <v>10.16299999995433</v>
      </c>
      <c r="E110" s="300">
        <f t="shared" ref="E110:E111" si="257">SUM(B110:D110)</f>
        <v>124.97299999997182</v>
      </c>
      <c r="F110" s="300"/>
      <c r="G110" s="300">
        <v>110.10499999990391</v>
      </c>
      <c r="H110" s="300">
        <v>1.9400000000152504</v>
      </c>
      <c r="I110" s="300">
        <v>7.1279999999984431</v>
      </c>
      <c r="J110" s="300">
        <f t="shared" ref="J110:J111" si="258">SUM(G110:I110)</f>
        <v>119.17299999991759</v>
      </c>
      <c r="K110" s="300"/>
      <c r="L110" s="300">
        <v>112.89599999999318</v>
      </c>
      <c r="M110" s="300">
        <v>4.3450000000057338</v>
      </c>
      <c r="N110" s="300">
        <v>5.8379999999872298</v>
      </c>
      <c r="O110" s="300">
        <f t="shared" ref="O110:O111" si="259">SUM(L110:N110)</f>
        <v>123.07899999998615</v>
      </c>
      <c r="P110" s="300"/>
      <c r="Q110" s="300">
        <v>111.06100000020129</v>
      </c>
      <c r="R110" s="300">
        <v>4.3820000000071815</v>
      </c>
      <c r="S110" s="300">
        <v>5.822999999970742</v>
      </c>
      <c r="T110" s="300">
        <f t="shared" ref="T110:T111" si="260">SUM(Q110:S110)</f>
        <v>121.26600000017922</v>
      </c>
      <c r="U110" s="300"/>
      <c r="V110" s="300">
        <v>98.913000000102386</v>
      </c>
      <c r="W110" s="300">
        <v>4.0780000000142342</v>
      </c>
      <c r="X110" s="300">
        <v>5.4280000000033617</v>
      </c>
      <c r="Y110" s="300">
        <f t="shared" ref="Y110:Y111" si="261">SUM(V110:X110)</f>
        <v>108.41900000011998</v>
      </c>
    </row>
    <row r="111" spans="1:25" ht="12.45" x14ac:dyDescent="0.3">
      <c r="A111" s="260" t="s">
        <v>354</v>
      </c>
      <c r="B111" s="300">
        <f>SUM(B109:B110)</f>
        <v>134.23599999981931</v>
      </c>
      <c r="C111" s="300">
        <f t="shared" ref="C111" si="262">SUM(C109:C110)</f>
        <v>9.3510000001838378</v>
      </c>
      <c r="D111" s="300">
        <f t="shared" ref="D111" si="263">SUM(D109:D110)</f>
        <v>12.967000000002761</v>
      </c>
      <c r="E111" s="300">
        <f t="shared" si="257"/>
        <v>156.55400000000591</v>
      </c>
      <c r="F111" s="300"/>
      <c r="G111" s="300">
        <f>SUM(G109:G110)</f>
        <v>132.14199999957125</v>
      </c>
      <c r="H111" s="300">
        <f t="shared" ref="H111" si="264">SUM(H109:H110)</f>
        <v>7.9310000000944783</v>
      </c>
      <c r="I111" s="300">
        <f t="shared" ref="I111" si="265">SUM(I109:I110)</f>
        <v>7.3810000000030005</v>
      </c>
      <c r="J111" s="300">
        <f t="shared" si="258"/>
        <v>147.45399999966875</v>
      </c>
      <c r="K111" s="300"/>
      <c r="L111" s="300">
        <f>SUM(L109:L110)</f>
        <v>137.51099999975096</v>
      </c>
      <c r="M111" s="300">
        <f t="shared" ref="M111" si="266">SUM(M109:M110)</f>
        <v>11.803000000100536</v>
      </c>
      <c r="N111" s="300">
        <f t="shared" ref="N111" si="267">SUM(N109:N110)</f>
        <v>7.6629999999667504</v>
      </c>
      <c r="O111" s="300">
        <f t="shared" si="259"/>
        <v>156.97699999981825</v>
      </c>
      <c r="P111" s="300"/>
      <c r="Q111" s="300">
        <f>SUM(Q109:Q110)</f>
        <v>134.98400000081983</v>
      </c>
      <c r="R111" s="300">
        <f t="shared" ref="R111" si="268">SUM(R109:R110)</f>
        <v>11.890000000119997</v>
      </c>
      <c r="S111" s="300">
        <f t="shared" ref="S111" si="269">SUM(S109:S110)</f>
        <v>7.6169999999731184</v>
      </c>
      <c r="T111" s="300">
        <f t="shared" si="260"/>
        <v>154.49100000091295</v>
      </c>
      <c r="U111" s="300"/>
      <c r="V111" s="300">
        <f>SUM(V109:V110)</f>
        <v>119.56700000007794</v>
      </c>
      <c r="W111" s="300">
        <f t="shared" ref="W111" si="270">SUM(W109:W110)</f>
        <v>11.119999999924374</v>
      </c>
      <c r="X111" s="300">
        <f t="shared" ref="X111" si="271">SUM(X109:X110)</f>
        <v>6.9800000000141527</v>
      </c>
      <c r="Y111" s="300">
        <f t="shared" si="261"/>
        <v>137.66700000001646</v>
      </c>
    </row>
    <row r="112" spans="1:25" ht="12.45" x14ac:dyDescent="0.3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ht="12.45" x14ac:dyDescent="0.3">
      <c r="A113" s="261" t="str">
        <f>name!A16</f>
        <v>Other non-metallic</v>
      </c>
      <c r="C113" s="263"/>
    </row>
    <row r="114" spans="1:25" ht="12.45" x14ac:dyDescent="0.3">
      <c r="A114" s="260" t="s">
        <v>356</v>
      </c>
      <c r="B114" s="300">
        <v>10.484999999907977</v>
      </c>
      <c r="C114" s="300">
        <v>3.0260000000902108</v>
      </c>
      <c r="D114" s="300">
        <v>1.147000000022373</v>
      </c>
      <c r="E114" s="300">
        <f>SUM(B114:D114)</f>
        <v>14.658000000020561</v>
      </c>
      <c r="F114" s="300"/>
      <c r="G114" s="300">
        <v>11.863999999847151</v>
      </c>
      <c r="H114" s="300">
        <v>2.9250000000629677</v>
      </c>
      <c r="I114" s="300">
        <v>2.7340000000502513</v>
      </c>
      <c r="J114" s="300">
        <f>SUM(G114:I114)</f>
        <v>17.522999999960369</v>
      </c>
      <c r="K114" s="300"/>
      <c r="L114" s="300">
        <v>13.077999999887044</v>
      </c>
      <c r="M114" s="300">
        <v>3.5770000000764823</v>
      </c>
      <c r="N114" s="300">
        <v>0.7869999999859284</v>
      </c>
      <c r="O114" s="300">
        <f>SUM(L114:N114)</f>
        <v>17.441999999949452</v>
      </c>
      <c r="P114" s="300"/>
      <c r="Q114" s="300">
        <v>12.615000000332703</v>
      </c>
      <c r="R114" s="300">
        <v>3.5780000001156869</v>
      </c>
      <c r="S114" s="300">
        <v>0.77799999999849356</v>
      </c>
      <c r="T114" s="300">
        <f>SUM(Q114:S114)</f>
        <v>16.971000000446882</v>
      </c>
      <c r="U114" s="300"/>
      <c r="V114" s="300">
        <v>10.789999999994873</v>
      </c>
      <c r="W114" s="300">
        <v>3.3329999999704154</v>
      </c>
      <c r="X114" s="300">
        <v>0.67200000000663418</v>
      </c>
      <c r="Y114" s="300">
        <f>SUM(V114:X114)</f>
        <v>14.794999999971921</v>
      </c>
    </row>
    <row r="115" spans="1:25" ht="12.45" x14ac:dyDescent="0.3">
      <c r="A115" s="260" t="s">
        <v>355</v>
      </c>
      <c r="B115" s="300">
        <v>53.052999999899761</v>
      </c>
      <c r="C115" s="300">
        <v>0.96499999999720898</v>
      </c>
      <c r="D115" s="300">
        <v>5.1379999999521964</v>
      </c>
      <c r="E115" s="300">
        <f t="shared" ref="E115:E116" si="272">SUM(B115:D115)</f>
        <v>59.155999999849172</v>
      </c>
      <c r="F115" s="300"/>
      <c r="G115" s="300">
        <v>58.583999999935187</v>
      </c>
      <c r="H115" s="300">
        <v>1.2929999999990078</v>
      </c>
      <c r="I115" s="300">
        <v>4.0830000000326052</v>
      </c>
      <c r="J115" s="300">
        <f t="shared" ref="J115:J116" si="273">SUM(G115:I115)</f>
        <v>63.959999999966797</v>
      </c>
      <c r="K115" s="300"/>
      <c r="L115" s="300">
        <v>60.441000000028431</v>
      </c>
      <c r="M115" s="300">
        <v>2.9180000000028183</v>
      </c>
      <c r="N115" s="300">
        <v>1.6749999999807408</v>
      </c>
      <c r="O115" s="300">
        <f t="shared" ref="O115:O116" si="274">SUM(L115:N115)</f>
        <v>65.034000000011986</v>
      </c>
      <c r="P115" s="300"/>
      <c r="Q115" s="300">
        <v>59.284000000016405</v>
      </c>
      <c r="R115" s="300">
        <v>2.8960000000044896</v>
      </c>
      <c r="S115" s="300">
        <v>1.9219999999435047</v>
      </c>
      <c r="T115" s="300">
        <f t="shared" ref="T115:T116" si="275">SUM(Q115:S115)</f>
        <v>64.101999999964406</v>
      </c>
      <c r="U115" s="300"/>
      <c r="V115" s="300">
        <v>52.605999999995923</v>
      </c>
      <c r="W115" s="300">
        <v>2.6500000000007153</v>
      </c>
      <c r="X115" s="300">
        <v>2.045999999959534</v>
      </c>
      <c r="Y115" s="300">
        <f t="shared" ref="Y115:Y116" si="276">SUM(V115:X115)</f>
        <v>57.301999999956173</v>
      </c>
    </row>
    <row r="116" spans="1:25" ht="12.45" x14ac:dyDescent="0.3">
      <c r="A116" s="260" t="s">
        <v>354</v>
      </c>
      <c r="B116" s="300">
        <f>SUM(B114:B115)</f>
        <v>63.537999999807738</v>
      </c>
      <c r="C116" s="300">
        <f t="shared" ref="C116" si="277">SUM(C114:C115)</f>
        <v>3.9910000000874195</v>
      </c>
      <c r="D116" s="300">
        <f t="shared" ref="D116" si="278">SUM(D114:D115)</f>
        <v>6.2849999999745698</v>
      </c>
      <c r="E116" s="300">
        <f t="shared" si="272"/>
        <v>73.813999999869736</v>
      </c>
      <c r="F116" s="300"/>
      <c r="G116" s="300">
        <f>SUM(G114:G115)</f>
        <v>70.44799999978234</v>
      </c>
      <c r="H116" s="300">
        <f t="shared" ref="H116" si="279">SUM(H114:H115)</f>
        <v>4.2180000000619753</v>
      </c>
      <c r="I116" s="300">
        <f t="shared" ref="I116" si="280">SUM(I114:I115)</f>
        <v>6.8170000000828566</v>
      </c>
      <c r="J116" s="300">
        <f t="shared" si="273"/>
        <v>81.482999999927173</v>
      </c>
      <c r="K116" s="300"/>
      <c r="L116" s="300">
        <f>SUM(L114:L115)</f>
        <v>73.518999999915479</v>
      </c>
      <c r="M116" s="300">
        <f t="shared" ref="M116" si="281">SUM(M114:M115)</f>
        <v>6.4950000000793011</v>
      </c>
      <c r="N116" s="300">
        <f t="shared" ref="N116" si="282">SUM(N114:N115)</f>
        <v>2.4619999999666691</v>
      </c>
      <c r="O116" s="300">
        <f t="shared" si="274"/>
        <v>82.475999999961445</v>
      </c>
      <c r="P116" s="300"/>
      <c r="Q116" s="300">
        <f>SUM(Q114:Q115)</f>
        <v>71.899000000349105</v>
      </c>
      <c r="R116" s="300">
        <f t="shared" ref="R116" si="283">SUM(R114:R115)</f>
        <v>6.4740000001201761</v>
      </c>
      <c r="S116" s="300">
        <f t="shared" ref="S116" si="284">SUM(S114:S115)</f>
        <v>2.6999999999419981</v>
      </c>
      <c r="T116" s="300">
        <f t="shared" si="275"/>
        <v>81.07300000041127</v>
      </c>
      <c r="U116" s="300"/>
      <c r="V116" s="300">
        <f>SUM(V114:V115)</f>
        <v>63.395999999990792</v>
      </c>
      <c r="W116" s="300">
        <f t="shared" ref="W116" si="285">SUM(W114:W115)</f>
        <v>5.9829999999711312</v>
      </c>
      <c r="X116" s="300">
        <f t="shared" ref="X116" si="286">SUM(X114:X115)</f>
        <v>2.7179999999661684</v>
      </c>
      <c r="Y116" s="300">
        <f t="shared" si="276"/>
        <v>72.096999999928087</v>
      </c>
    </row>
    <row r="117" spans="1:25" ht="12.45" x14ac:dyDescent="0.3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ht="12.45" x14ac:dyDescent="0.3">
      <c r="A118" s="261" t="str">
        <f>name!A17</f>
        <v>Basic metals</v>
      </c>
      <c r="C118" s="263"/>
    </row>
    <row r="119" spans="1:25" ht="12.45" x14ac:dyDescent="0.3">
      <c r="A119" s="260" t="s">
        <v>356</v>
      </c>
      <c r="B119" s="300">
        <v>4.5969999999673972</v>
      </c>
      <c r="C119" s="300">
        <v>1.238000000021674</v>
      </c>
      <c r="D119" s="300">
        <v>7.3000000000547058E-2</v>
      </c>
      <c r="E119" s="300">
        <f>SUM(B119:D119)</f>
        <v>5.9079999999896176</v>
      </c>
      <c r="F119" s="300"/>
      <c r="G119" s="300">
        <v>4.5309999999516757</v>
      </c>
      <c r="H119" s="300">
        <v>1.1310000000098608</v>
      </c>
      <c r="I119" s="300">
        <v>0.43100000000249034</v>
      </c>
      <c r="J119" s="300">
        <f>SUM(G119:I119)</f>
        <v>6.092999999964027</v>
      </c>
      <c r="K119" s="300"/>
      <c r="L119" s="300">
        <v>4.2789999999599004</v>
      </c>
      <c r="M119" s="300">
        <v>1.1370000000074123</v>
      </c>
      <c r="N119" s="300">
        <v>0.2339999999978534</v>
      </c>
      <c r="O119" s="300">
        <f>SUM(L119:N119)</f>
        <v>5.649999999965166</v>
      </c>
      <c r="P119" s="300"/>
      <c r="Q119" s="300">
        <v>4.3220000000903989</v>
      </c>
      <c r="R119" s="300">
        <v>1.1220000000164645</v>
      </c>
      <c r="S119" s="300">
        <v>0.2339999999990755</v>
      </c>
      <c r="T119" s="300">
        <f>SUM(Q119:S119)</f>
        <v>5.6780000001059383</v>
      </c>
      <c r="U119" s="300"/>
      <c r="V119" s="300">
        <v>4.0480000000053691</v>
      </c>
      <c r="W119" s="300">
        <v>1.0079999999905604</v>
      </c>
      <c r="X119" s="300">
        <v>0.21900000000240252</v>
      </c>
      <c r="Y119" s="300">
        <f>SUM(V119:X119)</f>
        <v>5.2749999999983324</v>
      </c>
    </row>
    <row r="120" spans="1:25" ht="12.45" x14ac:dyDescent="0.3">
      <c r="A120" s="260" t="s">
        <v>355</v>
      </c>
      <c r="B120" s="300">
        <v>44.293999999926662</v>
      </c>
      <c r="C120" s="300">
        <v>1.3310000000104099</v>
      </c>
      <c r="D120" s="300">
        <v>1.8119999999966321</v>
      </c>
      <c r="E120" s="300">
        <f t="shared" ref="E120:E121" si="287">SUM(B120:D120)</f>
        <v>47.436999999933704</v>
      </c>
      <c r="F120" s="300"/>
      <c r="G120" s="300">
        <v>47.331999999890854</v>
      </c>
      <c r="H120" s="300">
        <v>1.3610000000067735</v>
      </c>
      <c r="I120" s="300">
        <v>2.5219999999978544</v>
      </c>
      <c r="J120" s="300">
        <f t="shared" ref="J120:J121" si="288">SUM(G120:I120)</f>
        <v>51.214999999895483</v>
      </c>
      <c r="K120" s="300"/>
      <c r="L120" s="300">
        <v>40.286999999944157</v>
      </c>
      <c r="M120" s="300">
        <v>1.7149999999992473</v>
      </c>
      <c r="N120" s="300">
        <v>0.56699999999951189</v>
      </c>
      <c r="O120" s="300">
        <f t="shared" ref="O120:O121" si="289">SUM(L120:N120)</f>
        <v>42.568999999942918</v>
      </c>
      <c r="P120" s="300"/>
      <c r="Q120" s="300">
        <v>38.999999999979217</v>
      </c>
      <c r="R120" s="300">
        <v>1.6569999999978207</v>
      </c>
      <c r="S120" s="300">
        <v>0.59099999999990194</v>
      </c>
      <c r="T120" s="300">
        <f t="shared" ref="T120:T121" si="290">SUM(Q120:S120)</f>
        <v>41.24799999997694</v>
      </c>
      <c r="U120" s="300"/>
      <c r="V120" s="300">
        <v>33.973999999947679</v>
      </c>
      <c r="W120" s="300">
        <v>1.4239999999990247</v>
      </c>
      <c r="X120" s="300">
        <v>0.59199999999998254</v>
      </c>
      <c r="Y120" s="300">
        <f t="shared" ref="Y120:Y121" si="291">SUM(V120:X120)</f>
        <v>35.98999999994669</v>
      </c>
    </row>
    <row r="121" spans="1:25" ht="12.45" x14ac:dyDescent="0.3">
      <c r="A121" s="260" t="s">
        <v>354</v>
      </c>
      <c r="B121" s="300">
        <f>SUM(B119:B120)</f>
        <v>48.890999999894056</v>
      </c>
      <c r="C121" s="300">
        <f t="shared" ref="C121" si="292">SUM(C119:C120)</f>
        <v>2.5690000000320836</v>
      </c>
      <c r="D121" s="300">
        <f t="shared" ref="D121" si="293">SUM(D119:D120)</f>
        <v>1.8849999999971792</v>
      </c>
      <c r="E121" s="300">
        <f t="shared" si="287"/>
        <v>53.344999999923317</v>
      </c>
      <c r="F121" s="300"/>
      <c r="G121" s="300">
        <f>SUM(G119:G120)</f>
        <v>51.862999999842529</v>
      </c>
      <c r="H121" s="300">
        <f t="shared" ref="H121" si="294">SUM(H119:H120)</f>
        <v>2.4920000000166342</v>
      </c>
      <c r="I121" s="300">
        <f t="shared" ref="I121" si="295">SUM(I119:I120)</f>
        <v>2.9530000000003449</v>
      </c>
      <c r="J121" s="300">
        <f t="shared" si="288"/>
        <v>57.307999999859504</v>
      </c>
      <c r="K121" s="300"/>
      <c r="L121" s="300">
        <f>SUM(L119:L120)</f>
        <v>44.565999999904058</v>
      </c>
      <c r="M121" s="300">
        <f t="shared" ref="M121" si="296">SUM(M119:M120)</f>
        <v>2.8520000000066599</v>
      </c>
      <c r="N121" s="300">
        <f t="shared" ref="N121" si="297">SUM(N119:N120)</f>
        <v>0.80099999999736526</v>
      </c>
      <c r="O121" s="300">
        <f t="shared" si="289"/>
        <v>48.218999999908085</v>
      </c>
      <c r="P121" s="300"/>
      <c r="Q121" s="300">
        <f>SUM(Q119:Q120)</f>
        <v>43.322000000069615</v>
      </c>
      <c r="R121" s="300">
        <f t="shared" ref="R121" si="298">SUM(R119:R120)</f>
        <v>2.7790000000142854</v>
      </c>
      <c r="S121" s="300">
        <f t="shared" ref="S121" si="299">SUM(S119:S120)</f>
        <v>0.82499999999897744</v>
      </c>
      <c r="T121" s="300">
        <f t="shared" si="290"/>
        <v>46.92600000008288</v>
      </c>
      <c r="U121" s="300"/>
      <c r="V121" s="300">
        <f>SUM(V119:V120)</f>
        <v>38.021999999953046</v>
      </c>
      <c r="W121" s="300">
        <f t="shared" ref="W121" si="300">SUM(W119:W120)</f>
        <v>2.4319999999895852</v>
      </c>
      <c r="X121" s="300">
        <f t="shared" ref="X121" si="301">SUM(X119:X120)</f>
        <v>0.81100000000238504</v>
      </c>
      <c r="Y121" s="300">
        <f t="shared" si="291"/>
        <v>41.264999999945019</v>
      </c>
    </row>
    <row r="122" spans="1:25" ht="12.45" x14ac:dyDescent="0.3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ht="12.45" x14ac:dyDescent="0.3">
      <c r="A123" s="261" t="str">
        <f>name!A18</f>
        <v>Metal products</v>
      </c>
      <c r="C123" s="263"/>
    </row>
    <row r="124" spans="1:25" ht="12.45" x14ac:dyDescent="0.3">
      <c r="A124" s="260" t="s">
        <v>356</v>
      </c>
      <c r="B124" s="300">
        <v>28.879999999759814</v>
      </c>
      <c r="C124" s="300">
        <v>13.683000000201968</v>
      </c>
      <c r="D124" s="300">
        <v>0.79000000000794579</v>
      </c>
      <c r="E124" s="300">
        <f>SUM(B124:D124)</f>
        <v>43.352999999969725</v>
      </c>
      <c r="F124" s="300"/>
      <c r="G124" s="300">
        <v>26.484999999596464</v>
      </c>
      <c r="H124" s="300">
        <v>12.158000000130231</v>
      </c>
      <c r="I124" s="300">
        <v>3.6990000000319503</v>
      </c>
      <c r="J124" s="300">
        <f>SUM(G124:I124)</f>
        <v>42.341999999758649</v>
      </c>
      <c r="K124" s="300"/>
      <c r="L124" s="300">
        <v>24.824999999742317</v>
      </c>
      <c r="M124" s="300">
        <v>12.667000000143624</v>
      </c>
      <c r="N124" s="300">
        <v>1.8289999999761315</v>
      </c>
      <c r="O124" s="300">
        <f>SUM(L124:N124)</f>
        <v>39.320999999862075</v>
      </c>
      <c r="P124" s="300"/>
      <c r="Q124" s="300">
        <v>24.9850000006793</v>
      </c>
      <c r="R124" s="300">
        <v>12.47400000019416</v>
      </c>
      <c r="S124" s="300">
        <v>1.8429999999918132</v>
      </c>
      <c r="T124" s="300">
        <f>SUM(Q124:S124)</f>
        <v>39.30200000086527</v>
      </c>
      <c r="U124" s="300"/>
      <c r="V124" s="300">
        <v>23.405000000076235</v>
      </c>
      <c r="W124" s="300">
        <v>11.185999999904892</v>
      </c>
      <c r="X124" s="300">
        <v>1.7250000000042747</v>
      </c>
      <c r="Y124" s="300">
        <f>SUM(V124:X124)</f>
        <v>36.315999999985401</v>
      </c>
    </row>
    <row r="125" spans="1:25" ht="12.45" x14ac:dyDescent="0.3">
      <c r="A125" s="260" t="s">
        <v>355</v>
      </c>
      <c r="B125" s="300">
        <v>217.2259999995932</v>
      </c>
      <c r="C125" s="300">
        <v>8.9440000000630224</v>
      </c>
      <c r="D125" s="300">
        <v>10.183999999979987</v>
      </c>
      <c r="E125" s="300">
        <f t="shared" ref="E125:E126" si="302">SUM(B125:D125)</f>
        <v>236.35399999963622</v>
      </c>
      <c r="F125" s="300"/>
      <c r="G125" s="300">
        <v>208.14199999953877</v>
      </c>
      <c r="H125" s="300">
        <v>8.0810000000152691</v>
      </c>
      <c r="I125" s="300">
        <v>12.235000000160163</v>
      </c>
      <c r="J125" s="300">
        <f t="shared" ref="J125:J126" si="303">SUM(G125:I125)</f>
        <v>228.45799999971422</v>
      </c>
      <c r="K125" s="300"/>
      <c r="L125" s="300">
        <v>180.05599999966446</v>
      </c>
      <c r="M125" s="300">
        <v>10.101000000005678</v>
      </c>
      <c r="N125" s="300">
        <v>7.8809999999532803</v>
      </c>
      <c r="O125" s="300">
        <f t="shared" ref="O125:O126" si="304">SUM(L125:N125)</f>
        <v>198.03799999962342</v>
      </c>
      <c r="P125" s="300"/>
      <c r="Q125" s="300">
        <v>174.09700000011227</v>
      </c>
      <c r="R125" s="300">
        <v>9.7319999999874049</v>
      </c>
      <c r="S125" s="300">
        <v>7.301999999849901</v>
      </c>
      <c r="T125" s="300">
        <f t="shared" ref="T125:T126" si="305">SUM(Q125:S125)</f>
        <v>191.13099999994958</v>
      </c>
      <c r="U125" s="300"/>
      <c r="V125" s="300">
        <v>151.71799999999649</v>
      </c>
      <c r="W125" s="300">
        <v>8.3660000000033676</v>
      </c>
      <c r="X125" s="300">
        <v>5.8179999999348233</v>
      </c>
      <c r="Y125" s="300">
        <f t="shared" ref="Y125:Y126" si="306">SUM(V125:X125)</f>
        <v>165.90199999993467</v>
      </c>
    </row>
    <row r="126" spans="1:25" ht="12.45" x14ac:dyDescent="0.3">
      <c r="A126" s="260" t="s">
        <v>354</v>
      </c>
      <c r="B126" s="300">
        <f>SUM(B124:B125)</f>
        <v>246.105999999353</v>
      </c>
      <c r="C126" s="300">
        <f t="shared" ref="C126" si="307">SUM(C124:C125)</f>
        <v>22.627000000264992</v>
      </c>
      <c r="D126" s="300">
        <f t="shared" ref="D126" si="308">SUM(D124:D125)</f>
        <v>10.973999999987933</v>
      </c>
      <c r="E126" s="300">
        <f t="shared" si="302"/>
        <v>279.70699999960596</v>
      </c>
      <c r="F126" s="300"/>
      <c r="G126" s="300">
        <f>SUM(G124:G125)</f>
        <v>234.62699999913522</v>
      </c>
      <c r="H126" s="300">
        <f t="shared" ref="H126" si="309">SUM(H124:H125)</f>
        <v>20.239000000145502</v>
      </c>
      <c r="I126" s="300">
        <f t="shared" ref="I126" si="310">SUM(I124:I125)</f>
        <v>15.934000000192114</v>
      </c>
      <c r="J126" s="300">
        <f t="shared" si="303"/>
        <v>270.79999999947285</v>
      </c>
      <c r="K126" s="300"/>
      <c r="L126" s="300">
        <f>SUM(L124:L125)</f>
        <v>204.88099999940678</v>
      </c>
      <c r="M126" s="300">
        <f t="shared" ref="M126" si="311">SUM(M124:M125)</f>
        <v>22.7680000001493</v>
      </c>
      <c r="N126" s="300">
        <f t="shared" ref="N126" si="312">SUM(N124:N125)</f>
        <v>9.709999999929412</v>
      </c>
      <c r="O126" s="300">
        <f t="shared" si="304"/>
        <v>237.35899999948549</v>
      </c>
      <c r="P126" s="300"/>
      <c r="Q126" s="300">
        <f>SUM(Q124:Q125)</f>
        <v>199.08200000079157</v>
      </c>
      <c r="R126" s="300">
        <f t="shared" ref="R126" si="313">SUM(R124:R125)</f>
        <v>22.206000000181565</v>
      </c>
      <c r="S126" s="300">
        <f t="shared" ref="S126" si="314">SUM(S124:S125)</f>
        <v>9.1449999998417137</v>
      </c>
      <c r="T126" s="300">
        <f t="shared" si="305"/>
        <v>230.43300000081484</v>
      </c>
      <c r="U126" s="300"/>
      <c r="V126" s="300">
        <f>SUM(V124:V125)</f>
        <v>175.12300000007272</v>
      </c>
      <c r="W126" s="300">
        <f t="shared" ref="W126" si="315">SUM(W124:W125)</f>
        <v>19.551999999908261</v>
      </c>
      <c r="X126" s="300">
        <f t="shared" ref="X126" si="316">SUM(X124:X125)</f>
        <v>7.5429999999390978</v>
      </c>
      <c r="Y126" s="300">
        <f t="shared" si="306"/>
        <v>202.21799999992007</v>
      </c>
    </row>
    <row r="127" spans="1:25" ht="12.45" x14ac:dyDescent="0.3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ht="12.45" x14ac:dyDescent="0.3">
      <c r="A128" s="261" t="str">
        <f>name!A22</f>
        <v>Motor vehicles, etc</v>
      </c>
      <c r="C128" s="263"/>
    </row>
    <row r="129" spans="1:25" ht="12.45" x14ac:dyDescent="0.3">
      <c r="A129" s="260" t="s">
        <v>356</v>
      </c>
      <c r="B129" s="300">
        <v>13.91699999991452</v>
      </c>
      <c r="C129" s="300">
        <v>2.7180000000386149</v>
      </c>
      <c r="D129" s="300">
        <v>0.27900000000482289</v>
      </c>
      <c r="E129" s="300">
        <f>SUM(B129:D129)</f>
        <v>16.913999999957959</v>
      </c>
      <c r="F129" s="300"/>
      <c r="G129" s="300">
        <v>19.139999999740152</v>
      </c>
      <c r="H129" s="300">
        <v>2.8800000000394248</v>
      </c>
      <c r="I129" s="300">
        <v>0.31800000000436102</v>
      </c>
      <c r="J129" s="300">
        <f>SUM(G129:I129)</f>
        <v>22.337999999783936</v>
      </c>
      <c r="K129" s="300"/>
      <c r="L129" s="300">
        <v>15.616999999862989</v>
      </c>
      <c r="M129" s="300">
        <v>2.7760000000441258</v>
      </c>
      <c r="N129" s="300">
        <v>0.32799999999435275</v>
      </c>
      <c r="O129" s="300">
        <f>SUM(L129:N129)</f>
        <v>18.720999999901469</v>
      </c>
      <c r="P129" s="300"/>
      <c r="Q129" s="300">
        <v>16.038000000428539</v>
      </c>
      <c r="R129" s="300">
        <v>2.6330000000216351</v>
      </c>
      <c r="S129" s="300">
        <v>0.32499999999826668</v>
      </c>
      <c r="T129" s="300">
        <f>SUM(Q129:S129)</f>
        <v>18.99600000044844</v>
      </c>
      <c r="U129" s="300"/>
      <c r="V129" s="300">
        <v>15.782000000019668</v>
      </c>
      <c r="W129" s="300">
        <v>2.2229999999808379</v>
      </c>
      <c r="X129" s="300">
        <v>0.29999999999959071</v>
      </c>
      <c r="Y129" s="300">
        <f>SUM(V129:X129)</f>
        <v>18.305000000000099</v>
      </c>
    </row>
    <row r="130" spans="1:25" ht="12.45" x14ac:dyDescent="0.3">
      <c r="A130" s="260" t="s">
        <v>355</v>
      </c>
      <c r="B130" s="300">
        <v>114.80099999984633</v>
      </c>
      <c r="C130" s="300">
        <v>0.85600000001601617</v>
      </c>
      <c r="D130" s="300">
        <v>3.0120000000228777</v>
      </c>
      <c r="E130" s="300">
        <f t="shared" ref="E130:E131" si="317">SUM(B130:D130)</f>
        <v>118.66899999988522</v>
      </c>
      <c r="F130" s="300"/>
      <c r="G130" s="300">
        <v>122.53599999952839</v>
      </c>
      <c r="H130" s="300">
        <v>1.8230000000094528</v>
      </c>
      <c r="I130" s="300">
        <v>1.9480000000179829</v>
      </c>
      <c r="J130" s="300">
        <f t="shared" ref="J130:J131" si="318">SUM(G130:I130)</f>
        <v>126.30699999955583</v>
      </c>
      <c r="K130" s="300"/>
      <c r="L130" s="300">
        <v>106.7369999995648</v>
      </c>
      <c r="M130" s="300">
        <v>2.831999999992147</v>
      </c>
      <c r="N130" s="300">
        <v>2.0260000000044149</v>
      </c>
      <c r="O130" s="300">
        <f t="shared" ref="O130:O131" si="319">SUM(L130:N130)</f>
        <v>111.59499999956137</v>
      </c>
      <c r="P130" s="300"/>
      <c r="Q130" s="300">
        <v>105.74199999983908</v>
      </c>
      <c r="R130" s="300">
        <v>2.8429999999805728</v>
      </c>
      <c r="S130" s="300">
        <v>2.0110000000056898</v>
      </c>
      <c r="T130" s="300">
        <f t="shared" ref="T130:T131" si="320">SUM(Q130:S130)</f>
        <v>110.59599999982535</v>
      </c>
      <c r="U130" s="300"/>
      <c r="V130" s="300">
        <v>97.202999999789441</v>
      </c>
      <c r="W130" s="300">
        <v>2.6979999999822923</v>
      </c>
      <c r="X130" s="300">
        <v>1.8600000000062262</v>
      </c>
      <c r="Y130" s="300">
        <f t="shared" ref="Y130:Y131" si="321">SUM(V130:X130)</f>
        <v>101.76099999977795</v>
      </c>
    </row>
    <row r="131" spans="1:25" ht="12.45" x14ac:dyDescent="0.3">
      <c r="A131" s="260" t="s">
        <v>354</v>
      </c>
      <c r="B131" s="300">
        <f>SUM(B129:B130)</f>
        <v>128.71799999976085</v>
      </c>
      <c r="C131" s="300">
        <f t="shared" ref="C131" si="322">SUM(C129:C130)</f>
        <v>3.5740000000546308</v>
      </c>
      <c r="D131" s="300">
        <f t="shared" ref="D131" si="323">SUM(D129:D130)</f>
        <v>3.2910000000277004</v>
      </c>
      <c r="E131" s="300">
        <f t="shared" si="317"/>
        <v>135.5829999998432</v>
      </c>
      <c r="F131" s="300"/>
      <c r="G131" s="300">
        <f>SUM(G129:G130)</f>
        <v>141.67599999926853</v>
      </c>
      <c r="H131" s="300">
        <f t="shared" ref="H131" si="324">SUM(H129:H130)</f>
        <v>4.7030000000488776</v>
      </c>
      <c r="I131" s="300">
        <f t="shared" ref="I131" si="325">SUM(I129:I130)</f>
        <v>2.2660000000223439</v>
      </c>
      <c r="J131" s="300">
        <f t="shared" si="318"/>
        <v>148.64499999933975</v>
      </c>
      <c r="K131" s="300"/>
      <c r="L131" s="300">
        <f>SUM(L129:L130)</f>
        <v>122.35399999942778</v>
      </c>
      <c r="M131" s="300">
        <f t="shared" ref="M131" si="326">SUM(M129:M130)</f>
        <v>5.6080000000362729</v>
      </c>
      <c r="N131" s="300">
        <f t="shared" ref="N131" si="327">SUM(N129:N130)</f>
        <v>2.3539999999987677</v>
      </c>
      <c r="O131" s="300">
        <f t="shared" si="319"/>
        <v>130.31599999946283</v>
      </c>
      <c r="P131" s="300"/>
      <c r="Q131" s="300">
        <f>SUM(Q129:Q130)</f>
        <v>121.78000000026762</v>
      </c>
      <c r="R131" s="300">
        <f t="shared" ref="R131" si="328">SUM(R129:R130)</f>
        <v>5.476000000002208</v>
      </c>
      <c r="S131" s="300">
        <f t="shared" ref="S131" si="329">SUM(S129:S130)</f>
        <v>2.3360000000039562</v>
      </c>
      <c r="T131" s="300">
        <f t="shared" si="320"/>
        <v>129.59200000027377</v>
      </c>
      <c r="U131" s="300"/>
      <c r="V131" s="300">
        <f>SUM(V129:V130)</f>
        <v>112.98499999980911</v>
      </c>
      <c r="W131" s="300">
        <f t="shared" ref="W131" si="330">SUM(W129:W130)</f>
        <v>4.9209999999631302</v>
      </c>
      <c r="X131" s="300">
        <f t="shared" ref="X131" si="331">SUM(X129:X130)</f>
        <v>2.1600000000058168</v>
      </c>
      <c r="Y131" s="300">
        <f t="shared" si="321"/>
        <v>120.06599999977806</v>
      </c>
    </row>
    <row r="132" spans="1:25" ht="12.45" x14ac:dyDescent="0.3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ht="12.45" x14ac:dyDescent="0.3">
      <c r="A133" s="261" t="str">
        <f>name!A23</f>
        <v>Other transport equipment</v>
      </c>
      <c r="C133" s="263"/>
    </row>
    <row r="134" spans="1:25" ht="12.45" x14ac:dyDescent="0.3">
      <c r="A134" s="260" t="s">
        <v>356</v>
      </c>
      <c r="B134" s="300">
        <v>12.002999999892808</v>
      </c>
      <c r="C134" s="300">
        <v>1.1210000000097353</v>
      </c>
      <c r="D134" s="300">
        <v>0.26900000000130214</v>
      </c>
      <c r="E134" s="300">
        <f>SUM(B134:D134)</f>
        <v>13.392999999903845</v>
      </c>
      <c r="F134" s="300"/>
      <c r="G134" s="300">
        <v>13.941999999859469</v>
      </c>
      <c r="H134" s="300">
        <v>2.7140000000344506</v>
      </c>
      <c r="I134" s="300">
        <v>0.87400000000306943</v>
      </c>
      <c r="J134" s="300">
        <f>SUM(G134:I134)</f>
        <v>17.529999999896987</v>
      </c>
      <c r="K134" s="300"/>
      <c r="L134" s="300">
        <v>14.876999999870558</v>
      </c>
      <c r="M134" s="300">
        <v>2.7420000000307216</v>
      </c>
      <c r="N134" s="300">
        <v>0.33199999999614593</v>
      </c>
      <c r="O134" s="300">
        <f>SUM(L134:N134)</f>
        <v>17.950999999897427</v>
      </c>
      <c r="P134" s="300"/>
      <c r="Q134" s="300">
        <v>13.449000000244478</v>
      </c>
      <c r="R134" s="300">
        <v>2.3650000000405664</v>
      </c>
      <c r="S134" s="300">
        <v>0.28899999999859216</v>
      </c>
      <c r="T134" s="300">
        <f>SUM(Q134:S134)</f>
        <v>16.103000000283636</v>
      </c>
      <c r="U134" s="300"/>
      <c r="V134" s="300">
        <v>14.791000000014131</v>
      </c>
      <c r="W134" s="300">
        <v>2.384999999989037</v>
      </c>
      <c r="X134" s="300">
        <v>0.30300000001298394</v>
      </c>
      <c r="Y134" s="300">
        <f>SUM(V134:X134)</f>
        <v>17.47900000001615</v>
      </c>
    </row>
    <row r="135" spans="1:25" ht="12.45" x14ac:dyDescent="0.3">
      <c r="A135" s="260" t="s">
        <v>355</v>
      </c>
      <c r="B135" s="300">
        <v>97.346999999650478</v>
      </c>
      <c r="C135" s="300">
        <v>0.66099999999739589</v>
      </c>
      <c r="D135" s="300">
        <v>2.721999999964821</v>
      </c>
      <c r="E135" s="300">
        <f t="shared" ref="E135:E136" si="332">SUM(B135:D135)</f>
        <v>100.7299999996127</v>
      </c>
      <c r="F135" s="300"/>
      <c r="G135" s="300">
        <v>98.31899999977469</v>
      </c>
      <c r="H135" s="300">
        <v>1.7780000000004876</v>
      </c>
      <c r="I135" s="300">
        <v>2.1710000000300327</v>
      </c>
      <c r="J135" s="300">
        <f t="shared" ref="J135:J136" si="333">SUM(G135:I135)</f>
        <v>102.26799999980521</v>
      </c>
      <c r="K135" s="300"/>
      <c r="L135" s="300">
        <v>94.739999999741599</v>
      </c>
      <c r="M135" s="300">
        <v>1.8349999999966382</v>
      </c>
      <c r="N135" s="300">
        <v>5.5259999999399341</v>
      </c>
      <c r="O135" s="300">
        <f t="shared" ref="O135:O136" si="334">SUM(L135:N135)</f>
        <v>102.10099999967818</v>
      </c>
      <c r="P135" s="300"/>
      <c r="Q135" s="300">
        <v>80.632000000043575</v>
      </c>
      <c r="R135" s="300">
        <v>1.5699999999968459</v>
      </c>
      <c r="S135" s="300">
        <v>4.7419999998182494</v>
      </c>
      <c r="T135" s="300">
        <f t="shared" ref="T135:T136" si="335">SUM(Q135:S135)</f>
        <v>86.943999999858676</v>
      </c>
      <c r="U135" s="300"/>
      <c r="V135" s="300">
        <v>78.840000000018705</v>
      </c>
      <c r="W135" s="300">
        <v>1.5629999999939859</v>
      </c>
      <c r="X135" s="300">
        <v>4.6989999998930845</v>
      </c>
      <c r="Y135" s="300">
        <f t="shared" ref="Y135:Y136" si="336">SUM(V135:X135)</f>
        <v>85.101999999905786</v>
      </c>
    </row>
    <row r="136" spans="1:25" ht="12.45" x14ac:dyDescent="0.3">
      <c r="A136" s="260" t="s">
        <v>354</v>
      </c>
      <c r="B136" s="300">
        <f>SUM(B134:B135)</f>
        <v>109.34999999954329</v>
      </c>
      <c r="C136" s="300">
        <f t="shared" ref="C136" si="337">SUM(C134:C135)</f>
        <v>1.7820000000071312</v>
      </c>
      <c r="D136" s="300">
        <f t="shared" ref="D136" si="338">SUM(D134:D135)</f>
        <v>2.9909999999661232</v>
      </c>
      <c r="E136" s="300">
        <f t="shared" si="332"/>
        <v>114.12299999951654</v>
      </c>
      <c r="F136" s="300"/>
      <c r="G136" s="300">
        <f>SUM(G134:G135)</f>
        <v>112.26099999963415</v>
      </c>
      <c r="H136" s="300">
        <f t="shared" ref="H136" si="339">SUM(H134:H135)</f>
        <v>4.4920000000349383</v>
      </c>
      <c r="I136" s="300">
        <f t="shared" ref="I136" si="340">SUM(I134:I135)</f>
        <v>3.0450000000331023</v>
      </c>
      <c r="J136" s="300">
        <f t="shared" si="333"/>
        <v>119.79799999970218</v>
      </c>
      <c r="K136" s="300"/>
      <c r="L136" s="300">
        <f>SUM(L134:L135)</f>
        <v>109.61699999961216</v>
      </c>
      <c r="M136" s="300">
        <f t="shared" ref="M136" si="341">SUM(M134:M135)</f>
        <v>4.5770000000273594</v>
      </c>
      <c r="N136" s="300">
        <f t="shared" ref="N136" si="342">SUM(N134:N135)</f>
        <v>5.8579999999360801</v>
      </c>
      <c r="O136" s="300">
        <f t="shared" si="334"/>
        <v>120.0519999995756</v>
      </c>
      <c r="P136" s="300"/>
      <c r="Q136" s="300">
        <f>SUM(Q134:Q135)</f>
        <v>94.081000000288057</v>
      </c>
      <c r="R136" s="300">
        <f t="shared" ref="R136" si="343">SUM(R134:R135)</f>
        <v>3.9350000000374123</v>
      </c>
      <c r="S136" s="300">
        <f t="shared" ref="S136" si="344">SUM(S134:S135)</f>
        <v>5.0309999998168413</v>
      </c>
      <c r="T136" s="300">
        <f t="shared" si="335"/>
        <v>103.04700000014232</v>
      </c>
      <c r="U136" s="300"/>
      <c r="V136" s="300">
        <f>SUM(V134:V135)</f>
        <v>93.631000000032842</v>
      </c>
      <c r="W136" s="300">
        <f t="shared" ref="W136" si="345">SUM(W134:W135)</f>
        <v>3.9479999999830229</v>
      </c>
      <c r="X136" s="300">
        <f t="shared" ref="X136" si="346">SUM(X134:X135)</f>
        <v>5.0019999999060687</v>
      </c>
      <c r="Y136" s="300">
        <f t="shared" si="336"/>
        <v>102.58099999992194</v>
      </c>
    </row>
    <row r="137" spans="1:25" ht="12.45" x14ac:dyDescent="0.3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ht="12.45" x14ac:dyDescent="0.3">
      <c r="A138" s="261" t="str">
        <f>name!A24</f>
        <v>Furniture</v>
      </c>
      <c r="C138" s="263"/>
    </row>
    <row r="139" spans="1:25" ht="12.45" x14ac:dyDescent="0.3">
      <c r="A139" s="260" t="s">
        <v>356</v>
      </c>
      <c r="B139" s="300">
        <v>8.3459999999458976</v>
      </c>
      <c r="C139" s="300">
        <v>4.0120000000611249</v>
      </c>
      <c r="D139" s="300">
        <v>2.5820000000295162</v>
      </c>
      <c r="E139" s="300">
        <f>SUM(B139:D139)</f>
        <v>14.940000000036539</v>
      </c>
      <c r="F139" s="300"/>
      <c r="G139" s="300">
        <v>10.657999999854443</v>
      </c>
      <c r="H139" s="300">
        <v>5.3490000000819871</v>
      </c>
      <c r="I139" s="300">
        <v>0.35300000000628323</v>
      </c>
      <c r="J139" s="300">
        <f>SUM(G139:I139)</f>
        <v>16.359999999942712</v>
      </c>
      <c r="K139" s="300"/>
      <c r="L139" s="300">
        <v>11.416999999895118</v>
      </c>
      <c r="M139" s="300">
        <v>5.2820000000530225</v>
      </c>
      <c r="N139" s="300">
        <v>2.1319999999567307</v>
      </c>
      <c r="O139" s="300">
        <f>SUM(L139:N139)</f>
        <v>18.830999999904872</v>
      </c>
      <c r="P139" s="300"/>
      <c r="Q139" s="300">
        <v>10.113000000222009</v>
      </c>
      <c r="R139" s="300">
        <v>4.5680000000951848</v>
      </c>
      <c r="S139" s="300">
        <v>1.7900000000173171</v>
      </c>
      <c r="T139" s="300">
        <f>SUM(Q139:S139)</f>
        <v>16.471000000334513</v>
      </c>
      <c r="U139" s="300"/>
      <c r="V139" s="300">
        <v>9.7690000000258568</v>
      </c>
      <c r="W139" s="300">
        <v>4.2069999999799048</v>
      </c>
      <c r="X139" s="300">
        <v>1.5980000000120382</v>
      </c>
      <c r="Y139" s="300">
        <f>SUM(V139:X139)</f>
        <v>15.574000000017801</v>
      </c>
    </row>
    <row r="140" spans="1:25" ht="12.45" x14ac:dyDescent="0.3">
      <c r="A140" s="260" t="s">
        <v>355</v>
      </c>
      <c r="B140" s="300">
        <v>53.093999999973541</v>
      </c>
      <c r="C140" s="300">
        <v>1.8140000000196832</v>
      </c>
      <c r="D140" s="300">
        <v>12.577999999936793</v>
      </c>
      <c r="E140" s="300">
        <f t="shared" ref="E140:E141" si="347">SUM(B140:D140)</f>
        <v>67.485999999930016</v>
      </c>
      <c r="F140" s="300"/>
      <c r="G140" s="300">
        <v>57.562999999967623</v>
      </c>
      <c r="H140" s="300">
        <v>2.5470000000179525</v>
      </c>
      <c r="I140" s="300">
        <v>7.8530000000300779</v>
      </c>
      <c r="J140" s="300">
        <f t="shared" ref="J140:J141" si="348">SUM(G140:I140)</f>
        <v>67.963000000015654</v>
      </c>
      <c r="K140" s="300"/>
      <c r="L140" s="300">
        <v>59.955000000085093</v>
      </c>
      <c r="M140" s="300">
        <v>4.2220000000090172</v>
      </c>
      <c r="N140" s="300">
        <v>4.0829999999757662</v>
      </c>
      <c r="O140" s="300">
        <f t="shared" ref="O140:O141" si="349">SUM(L140:N140)</f>
        <v>68.26000000006988</v>
      </c>
      <c r="P140" s="300"/>
      <c r="Q140" s="300">
        <v>52.667000000140355</v>
      </c>
      <c r="R140" s="300">
        <v>3.6070000000053479</v>
      </c>
      <c r="S140" s="300">
        <v>3.6669999999471634</v>
      </c>
      <c r="T140" s="300">
        <f t="shared" ref="T140:T141" si="350">SUM(Q140:S140)</f>
        <v>59.94100000009287</v>
      </c>
      <c r="U140" s="300"/>
      <c r="V140" s="300">
        <v>49.771000000088058</v>
      </c>
      <c r="W140" s="300">
        <v>3.2870000000088591</v>
      </c>
      <c r="X140" s="300">
        <v>3.2959999999720306</v>
      </c>
      <c r="Y140" s="300">
        <f t="shared" ref="Y140:Y141" si="351">SUM(V140:X140)</f>
        <v>56.35400000006895</v>
      </c>
    </row>
    <row r="141" spans="1:25" ht="12.45" x14ac:dyDescent="0.3">
      <c r="A141" s="260" t="s">
        <v>354</v>
      </c>
      <c r="B141" s="300">
        <f>SUM(B139:B140)</f>
        <v>61.439999999919436</v>
      </c>
      <c r="C141" s="300">
        <f t="shared" ref="C141" si="352">SUM(C139:C140)</f>
        <v>5.8260000000808079</v>
      </c>
      <c r="D141" s="300">
        <f t="shared" ref="D141" si="353">SUM(D139:D140)</f>
        <v>15.15999999996631</v>
      </c>
      <c r="E141" s="300">
        <f t="shared" si="347"/>
        <v>82.425999999966564</v>
      </c>
      <c r="F141" s="300"/>
      <c r="G141" s="300">
        <f>SUM(G139:G140)</f>
        <v>68.22099999982207</v>
      </c>
      <c r="H141" s="300">
        <f t="shared" ref="H141" si="354">SUM(H139:H140)</f>
        <v>7.8960000000999395</v>
      </c>
      <c r="I141" s="300">
        <f t="shared" ref="I141" si="355">SUM(I139:I140)</f>
        <v>8.2060000000363615</v>
      </c>
      <c r="J141" s="300">
        <f t="shared" si="348"/>
        <v>84.32299999995837</v>
      </c>
      <c r="K141" s="300"/>
      <c r="L141" s="300">
        <f>SUM(L139:L140)</f>
        <v>71.371999999980204</v>
      </c>
      <c r="M141" s="300">
        <f t="shared" ref="M141" si="356">SUM(M139:M140)</f>
        <v>9.5040000000620388</v>
      </c>
      <c r="N141" s="300">
        <f t="shared" ref="N141" si="357">SUM(N139:N140)</f>
        <v>6.2149999999324965</v>
      </c>
      <c r="O141" s="300">
        <f t="shared" si="349"/>
        <v>87.090999999974741</v>
      </c>
      <c r="P141" s="300"/>
      <c r="Q141" s="300">
        <f>SUM(Q139:Q140)</f>
        <v>62.780000000362364</v>
      </c>
      <c r="R141" s="300">
        <f t="shared" ref="R141" si="358">SUM(R139:R140)</f>
        <v>8.1750000001005318</v>
      </c>
      <c r="S141" s="300">
        <f t="shared" ref="S141" si="359">SUM(S139:S140)</f>
        <v>5.4569999999644807</v>
      </c>
      <c r="T141" s="300">
        <f t="shared" si="350"/>
        <v>76.412000000427369</v>
      </c>
      <c r="U141" s="300"/>
      <c r="V141" s="300">
        <f>SUM(V139:V140)</f>
        <v>59.540000000113913</v>
      </c>
      <c r="W141" s="300">
        <f t="shared" ref="W141" si="360">SUM(W139:W140)</f>
        <v>7.4939999999887643</v>
      </c>
      <c r="X141" s="300">
        <f t="shared" ref="X141" si="361">SUM(X139:X140)</f>
        <v>4.8939999999840689</v>
      </c>
      <c r="Y141" s="300">
        <f t="shared" si="351"/>
        <v>71.928000000086755</v>
      </c>
    </row>
    <row r="142" spans="1:25" ht="12.4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45" x14ac:dyDescent="0.3">
      <c r="A143" s="261" t="str">
        <f>name!A25</f>
        <v>Other manufacturing</v>
      </c>
      <c r="C143" s="263"/>
    </row>
    <row r="144" spans="1:25" ht="12.45" x14ac:dyDescent="0.3">
      <c r="A144" s="260" t="s">
        <v>356</v>
      </c>
      <c r="B144" s="300">
        <v>21.898999999836629</v>
      </c>
      <c r="C144" s="300">
        <v>7.1780000001221573</v>
      </c>
      <c r="D144" s="300">
        <v>4.5110000000528814</v>
      </c>
      <c r="E144" s="300">
        <f>SUM(B144:D144)</f>
        <v>33.588000000011668</v>
      </c>
      <c r="F144" s="300"/>
      <c r="G144" s="300">
        <v>24.685999999665366</v>
      </c>
      <c r="H144" s="300">
        <v>6.3930000000988407</v>
      </c>
      <c r="I144" s="300">
        <v>5.3910000000932898</v>
      </c>
      <c r="J144" s="300">
        <f>SUM(G144:I144)</f>
        <v>36.4699999998575</v>
      </c>
      <c r="K144" s="300"/>
      <c r="L144" s="300">
        <v>25.943999999776114</v>
      </c>
      <c r="M144" s="300">
        <v>6.3300000001053309</v>
      </c>
      <c r="N144" s="300">
        <v>4.0029999999689077</v>
      </c>
      <c r="O144" s="300">
        <f>SUM(L144:N144)</f>
        <v>36.276999999850354</v>
      </c>
      <c r="P144" s="300"/>
      <c r="Q144" s="300">
        <v>22.723000000467191</v>
      </c>
      <c r="R144" s="300">
        <v>5.5860000001175871</v>
      </c>
      <c r="S144" s="300">
        <v>3.3820000000526615</v>
      </c>
      <c r="T144" s="300">
        <f>SUM(Q144:S144)</f>
        <v>31.691000000637437</v>
      </c>
      <c r="U144" s="300"/>
      <c r="V144" s="300">
        <v>21.508000000058271</v>
      </c>
      <c r="W144" s="300">
        <v>5.3559999999515746</v>
      </c>
      <c r="X144" s="300">
        <v>3.0499999999949665</v>
      </c>
      <c r="Y144" s="300">
        <f>SUM(V144:X144)</f>
        <v>29.914000000004812</v>
      </c>
    </row>
    <row r="145" spans="1:25" ht="12.45" x14ac:dyDescent="0.3">
      <c r="A145" s="260" t="s">
        <v>355</v>
      </c>
      <c r="B145" s="300">
        <v>40.144999999991214</v>
      </c>
      <c r="C145" s="300">
        <v>3.0730000000400874</v>
      </c>
      <c r="D145" s="300">
        <v>8.8249999999781181</v>
      </c>
      <c r="E145" s="300">
        <f t="shared" ref="E145:E146" si="362">SUM(B145:D145)</f>
        <v>52.043000000009421</v>
      </c>
      <c r="F145" s="300"/>
      <c r="G145" s="300">
        <v>41.128999999946053</v>
      </c>
      <c r="H145" s="300">
        <v>2.5040000000106284</v>
      </c>
      <c r="I145" s="300">
        <v>5.3310000000268811</v>
      </c>
      <c r="J145" s="300">
        <f t="shared" ref="J145:J146" si="363">SUM(G145:I145)</f>
        <v>48.963999999983564</v>
      </c>
      <c r="K145" s="300"/>
      <c r="L145" s="300">
        <v>42.478999999955292</v>
      </c>
      <c r="M145" s="300">
        <v>3.8130000000105291</v>
      </c>
      <c r="N145" s="300">
        <v>6.3269999999673026</v>
      </c>
      <c r="O145" s="300">
        <f t="shared" ref="O145:O146" si="364">SUM(L145:N145)</f>
        <v>52.618999999933123</v>
      </c>
      <c r="P145" s="300"/>
      <c r="Q145" s="300">
        <v>37.32600000006066</v>
      </c>
      <c r="R145" s="300">
        <v>3.3129999999961566</v>
      </c>
      <c r="S145" s="300">
        <v>5.234999999938533</v>
      </c>
      <c r="T145" s="300">
        <f t="shared" ref="T145:T146" si="365">SUM(Q145:S145)</f>
        <v>45.873999999995348</v>
      </c>
      <c r="U145" s="300"/>
      <c r="V145" s="300">
        <v>35.329000000053583</v>
      </c>
      <c r="W145" s="300">
        <v>3.1040000000004473</v>
      </c>
      <c r="X145" s="300">
        <v>4.5079999999728741</v>
      </c>
      <c r="Y145" s="300">
        <f t="shared" ref="Y145:Y146" si="366">SUM(V145:X145)</f>
        <v>42.941000000026904</v>
      </c>
    </row>
    <row r="146" spans="1:25" ht="12.45" x14ac:dyDescent="0.3">
      <c r="A146" s="260" t="s">
        <v>354</v>
      </c>
      <c r="B146" s="300">
        <f>SUM(B144:B145)</f>
        <v>62.043999999827847</v>
      </c>
      <c r="C146" s="300">
        <f t="shared" ref="C146" si="367">SUM(C144:C145)</f>
        <v>10.251000000162245</v>
      </c>
      <c r="D146" s="300">
        <f t="shared" ref="D146" si="368">SUM(D144:D145)</f>
        <v>13.336000000031</v>
      </c>
      <c r="E146" s="300">
        <f t="shared" si="362"/>
        <v>85.631000000021089</v>
      </c>
      <c r="F146" s="300"/>
      <c r="G146" s="300">
        <f>SUM(G144:G145)</f>
        <v>65.814999999611416</v>
      </c>
      <c r="H146" s="300">
        <f t="shared" ref="H146" si="369">SUM(H144:H145)</f>
        <v>8.8970000001094682</v>
      </c>
      <c r="I146" s="300">
        <f t="shared" ref="I146" si="370">SUM(I144:I145)</f>
        <v>10.722000000120172</v>
      </c>
      <c r="J146" s="300">
        <f t="shared" si="363"/>
        <v>85.433999999841063</v>
      </c>
      <c r="K146" s="300"/>
      <c r="L146" s="300">
        <f>SUM(L144:L145)</f>
        <v>68.422999999731402</v>
      </c>
      <c r="M146" s="300">
        <f t="shared" ref="M146" si="371">SUM(M144:M145)</f>
        <v>10.14300000011586</v>
      </c>
      <c r="N146" s="300">
        <f t="shared" ref="N146" si="372">SUM(N144:N145)</f>
        <v>10.329999999936209</v>
      </c>
      <c r="O146" s="300">
        <f t="shared" si="364"/>
        <v>88.89599999978347</v>
      </c>
      <c r="P146" s="300"/>
      <c r="Q146" s="300">
        <f>SUM(Q144:Q145)</f>
        <v>60.049000000527855</v>
      </c>
      <c r="R146" s="300">
        <f t="shared" ref="R146" si="373">SUM(R144:R145)</f>
        <v>8.8990000001137446</v>
      </c>
      <c r="S146" s="300">
        <f t="shared" ref="S146" si="374">SUM(S144:S145)</f>
        <v>8.6169999999911937</v>
      </c>
      <c r="T146" s="300">
        <f t="shared" si="365"/>
        <v>77.565000000632793</v>
      </c>
      <c r="U146" s="300"/>
      <c r="V146" s="300">
        <f>SUM(V144:V145)</f>
        <v>56.837000000111857</v>
      </c>
      <c r="W146" s="300">
        <f t="shared" ref="W146" si="375">SUM(W144:W145)</f>
        <v>8.4599999999520215</v>
      </c>
      <c r="X146" s="300">
        <f t="shared" ref="X146" si="376">SUM(X144:X145)</f>
        <v>7.5579999999678407</v>
      </c>
      <c r="Y146" s="300">
        <f t="shared" si="366"/>
        <v>72.855000000031708</v>
      </c>
    </row>
    <row r="147" spans="1:25" ht="12.45" x14ac:dyDescent="0.3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ht="12.45" x14ac:dyDescent="0.3">
      <c r="A148" s="261" t="str">
        <f>name!A26</f>
        <v>Repair and installation</v>
      </c>
      <c r="C148" s="263"/>
    </row>
    <row r="149" spans="1:25" ht="12.45" x14ac:dyDescent="0.3">
      <c r="A149" s="260" t="s">
        <v>356</v>
      </c>
      <c r="B149" s="300">
        <v>6.1069999999577416</v>
      </c>
      <c r="C149" s="300">
        <v>4.3610000000454399</v>
      </c>
      <c r="D149" s="300">
        <v>2.5160000000219318</v>
      </c>
      <c r="E149" s="300">
        <f>SUM(B149:D149)</f>
        <v>12.984000000025112</v>
      </c>
      <c r="F149" s="300"/>
      <c r="G149" s="300">
        <v>9.8389999998705111</v>
      </c>
      <c r="H149" s="300">
        <v>4.9100000000688455</v>
      </c>
      <c r="I149" s="300">
        <v>1.7430000000127117</v>
      </c>
      <c r="J149" s="300">
        <f>SUM(G149:I149)</f>
        <v>16.491999999952068</v>
      </c>
      <c r="K149" s="300"/>
      <c r="L149" s="300">
        <v>9.9869999999234675</v>
      </c>
      <c r="M149" s="300">
        <v>4.9760000000159472</v>
      </c>
      <c r="N149" s="300">
        <v>2.3179999999790972</v>
      </c>
      <c r="O149" s="300">
        <f>SUM(L149:N149)</f>
        <v>17.280999999918514</v>
      </c>
      <c r="P149" s="300"/>
      <c r="Q149" s="300">
        <v>8.6520000001635413</v>
      </c>
      <c r="R149" s="300">
        <v>4.2980000000494991</v>
      </c>
      <c r="S149" s="300">
        <v>1.930999999995771</v>
      </c>
      <c r="T149" s="300">
        <f>SUM(Q149:S149)</f>
        <v>14.881000000208813</v>
      </c>
      <c r="U149" s="300"/>
      <c r="V149" s="300">
        <v>8.026000000009109</v>
      </c>
      <c r="W149" s="300">
        <v>3.948999999975523</v>
      </c>
      <c r="X149" s="300">
        <v>1.6910000000163423</v>
      </c>
      <c r="Y149" s="300">
        <f>SUM(V149:X149)</f>
        <v>13.666000000000974</v>
      </c>
    </row>
    <row r="150" spans="1:25" ht="12.45" x14ac:dyDescent="0.3">
      <c r="A150" s="260" t="s">
        <v>355</v>
      </c>
      <c r="B150" s="300">
        <v>64.161999999798383</v>
      </c>
      <c r="C150" s="300">
        <v>2.5680000000110064</v>
      </c>
      <c r="D150" s="300">
        <v>16.462000000075179</v>
      </c>
      <c r="E150" s="300">
        <f t="shared" ref="E150:E151" si="377">SUM(B150:D150)</f>
        <v>83.191999999884573</v>
      </c>
      <c r="F150" s="300"/>
      <c r="G150" s="300">
        <v>82.734999999776164</v>
      </c>
      <c r="H150" s="300">
        <v>3.0309999999990183</v>
      </c>
      <c r="I150" s="300">
        <v>11.877000000116436</v>
      </c>
      <c r="J150" s="300">
        <f t="shared" ref="J150:J151" si="378">SUM(G150:I150)</f>
        <v>97.642999999891614</v>
      </c>
      <c r="K150" s="300"/>
      <c r="L150" s="300">
        <v>85.514999999692535</v>
      </c>
      <c r="M150" s="300">
        <v>4.2689999999843451</v>
      </c>
      <c r="N150" s="300">
        <v>19.308000000001126</v>
      </c>
      <c r="O150" s="300">
        <f t="shared" ref="O150:O151" si="379">SUM(L150:N150)</f>
        <v>109.09199999967801</v>
      </c>
      <c r="P150" s="300"/>
      <c r="Q150" s="300">
        <v>74.555999999962992</v>
      </c>
      <c r="R150" s="300">
        <v>3.6889999999846275</v>
      </c>
      <c r="S150" s="300">
        <v>17.520999999942173</v>
      </c>
      <c r="T150" s="300">
        <f t="shared" ref="T150:T151" si="380">SUM(Q150:S150)</f>
        <v>95.7659999998898</v>
      </c>
      <c r="U150" s="300"/>
      <c r="V150" s="300">
        <v>69.378999999881387</v>
      </c>
      <c r="W150" s="300">
        <v>3.4199999999882786</v>
      </c>
      <c r="X150" s="300">
        <v>18.344999999987891</v>
      </c>
      <c r="Y150" s="300">
        <f t="shared" ref="Y150:Y151" si="381">SUM(V150:X150)</f>
        <v>91.143999999857556</v>
      </c>
    </row>
    <row r="151" spans="1:25" ht="12.45" x14ac:dyDescent="0.3">
      <c r="A151" s="260" t="s">
        <v>354</v>
      </c>
      <c r="B151" s="300">
        <f>SUM(B149:B150)</f>
        <v>70.268999999756119</v>
      </c>
      <c r="C151" s="300">
        <f t="shared" ref="C151" si="382">SUM(C149:C150)</f>
        <v>6.9290000000564458</v>
      </c>
      <c r="D151" s="300">
        <f t="shared" ref="D151" si="383">SUM(D149:D150)</f>
        <v>18.978000000097111</v>
      </c>
      <c r="E151" s="300">
        <f t="shared" si="377"/>
        <v>96.175999999909678</v>
      </c>
      <c r="F151" s="300"/>
      <c r="G151" s="300">
        <f>SUM(G149:G150)</f>
        <v>92.573999999646674</v>
      </c>
      <c r="H151" s="300">
        <f t="shared" ref="H151" si="384">SUM(H149:H150)</f>
        <v>7.9410000000678638</v>
      </c>
      <c r="I151" s="300">
        <f t="shared" ref="I151" si="385">SUM(I149:I150)</f>
        <v>13.620000000129147</v>
      </c>
      <c r="J151" s="300">
        <f t="shared" si="378"/>
        <v>114.13499999984369</v>
      </c>
      <c r="K151" s="300"/>
      <c r="L151" s="300">
        <f>SUM(L149:L150)</f>
        <v>95.501999999616004</v>
      </c>
      <c r="M151" s="300">
        <f t="shared" ref="M151" si="386">SUM(M149:M150)</f>
        <v>9.2450000000002923</v>
      </c>
      <c r="N151" s="300">
        <f t="shared" ref="N151" si="387">SUM(N149:N150)</f>
        <v>21.625999999980223</v>
      </c>
      <c r="O151" s="300">
        <f t="shared" si="379"/>
        <v>126.37299999959652</v>
      </c>
      <c r="P151" s="300"/>
      <c r="Q151" s="300">
        <f>SUM(Q149:Q150)</f>
        <v>83.208000000126532</v>
      </c>
      <c r="R151" s="300">
        <f t="shared" ref="R151" si="388">SUM(R149:R150)</f>
        <v>7.9870000000341266</v>
      </c>
      <c r="S151" s="300">
        <f t="shared" ref="S151" si="389">SUM(S149:S150)</f>
        <v>19.451999999937943</v>
      </c>
      <c r="T151" s="300">
        <f t="shared" si="380"/>
        <v>110.6470000000986</v>
      </c>
      <c r="U151" s="300"/>
      <c r="V151" s="300">
        <f>SUM(V149:V150)</f>
        <v>77.404999999890492</v>
      </c>
      <c r="W151" s="300">
        <f t="shared" ref="W151" si="390">SUM(W149:W150)</f>
        <v>7.3689999999638012</v>
      </c>
      <c r="X151" s="300">
        <f t="shared" ref="X151" si="391">SUM(X149:X150)</f>
        <v>20.036000000004233</v>
      </c>
      <c r="Y151" s="300">
        <f t="shared" si="381"/>
        <v>104.80999999985853</v>
      </c>
    </row>
    <row r="152" spans="1:25" ht="12.45" x14ac:dyDescent="0.3">
      <c r="C152" s="263"/>
    </row>
    <row r="153" spans="1:25" x14ac:dyDescent="0.35">
      <c r="A153" s="261" t="s">
        <v>370</v>
      </c>
    </row>
    <row r="154" spans="1:25" ht="12.45" x14ac:dyDescent="0.3">
      <c r="A154" s="260" t="s">
        <v>356</v>
      </c>
      <c r="B154" s="300">
        <f>SUM(B74,B79,B84,B89,B94,B99,B104,B109,B114,B119,B124,B129,B134,B139,B144,B149)</f>
        <v>218.49599999835007</v>
      </c>
      <c r="C154" s="300">
        <f t="shared" ref="C154:D155" si="392">SUM(C74,C79,C84,C89,C94,C99,C104,C109,C114,C119,C124,C129,C134,C139,C144,C149)</f>
        <v>76.670000001349493</v>
      </c>
      <c r="D154" s="300">
        <f t="shared" si="392"/>
        <v>33.874000000488053</v>
      </c>
      <c r="E154" s="300">
        <f>SUM(B154:D154)</f>
        <v>329.04000000018766</v>
      </c>
      <c r="F154" s="300"/>
      <c r="G154" s="300">
        <f>SUM(G74,G79,G84,G89,G94,G99,G104,G109,G114,G119,G124,G129,G134,G139,G144,G149)</f>
        <v>234.99599999691011</v>
      </c>
      <c r="H154" s="300">
        <f t="shared" ref="H154:I154" si="393">SUM(H74,H79,H84,H89,H94,H99,H104,H109,H114,H119,H124,H129,H134,H139,H144,H149)</f>
        <v>75.831000000929137</v>
      </c>
      <c r="I154" s="300">
        <f t="shared" si="393"/>
        <v>37.214000000553156</v>
      </c>
      <c r="J154" s="300">
        <f>SUM(G154:I154)</f>
        <v>348.04099999839241</v>
      </c>
      <c r="K154" s="300"/>
      <c r="L154" s="300">
        <f>SUM(L74,L79,L84,L89,L94,L99,L104,L109,L114,L119,L124,L129,L134,L139,L144,L149)</f>
        <v>235.42299999798314</v>
      </c>
      <c r="M154" s="300">
        <f t="shared" ref="M154:N154" si="394">SUM(M74,M79,M84,M89,M94,M99,M104,M109,M114,M119,M124,M129,M134,M139,M144,M149)</f>
        <v>75.219000001037642</v>
      </c>
      <c r="N154" s="300">
        <f t="shared" si="394"/>
        <v>36.762999999537314</v>
      </c>
      <c r="O154" s="300">
        <f>SUM(L154:N154)</f>
        <v>347.40499999855808</v>
      </c>
      <c r="P154" s="300"/>
      <c r="Q154" s="300">
        <f>SUM(Q74,Q79,Q84,Q89,Q94,Q99,Q104,Q109,Q114,Q119,Q124,Q129,Q134,Q139,Q144,Q149)</f>
        <v>224.06100000462169</v>
      </c>
      <c r="R154" s="300">
        <f t="shared" ref="R154:S154" si="395">SUM(R74,R79,R84,R89,R94,R99,R104,R109,R114,R119,R124,R129,R134,R139,R144,R149)</f>
        <v>70.693000001318168</v>
      </c>
      <c r="S154" s="300">
        <f t="shared" si="395"/>
        <v>33.173000000067361</v>
      </c>
      <c r="T154" s="300">
        <f>SUM(Q154:S154)</f>
        <v>327.92700000600723</v>
      </c>
      <c r="U154" s="300"/>
      <c r="V154" s="300">
        <f>SUM(V74,V79,V84,V89,V94,V99,V104,V109,V114,V119,V124,V129,V134,V139,V144,V149)</f>
        <v>208.96000000043449</v>
      </c>
      <c r="W154" s="300">
        <f t="shared" ref="W154:X154" si="396">SUM(W74,W79,W84,W89,W94,W99,W104,W109,W114,W119,W124,W129,W134,W139,W144,W149)</f>
        <v>65.071999999517843</v>
      </c>
      <c r="X154" s="300">
        <f t="shared" si="396"/>
        <v>29.45000000018614</v>
      </c>
      <c r="Y154" s="300">
        <f>SUM(V154:X154)</f>
        <v>303.4820000001385</v>
      </c>
    </row>
    <row r="155" spans="1:25" ht="12.45" x14ac:dyDescent="0.3">
      <c r="A155" s="260" t="s">
        <v>355</v>
      </c>
      <c r="B155" s="300">
        <f>SUM(B75,B80,B85,B90,B95,B100,B105,B110,B115,B120,B125,B130,B135,B140,B145,B150)</f>
        <v>1052.5099999981524</v>
      </c>
      <c r="C155" s="300">
        <f t="shared" si="392"/>
        <v>34.113000000362781</v>
      </c>
      <c r="D155" s="300">
        <f t="shared" si="392"/>
        <v>111.89600000011039</v>
      </c>
      <c r="E155" s="300">
        <f t="shared" ref="E155:E156" si="397">SUM(B155:D155)</f>
        <v>1198.5189999986255</v>
      </c>
      <c r="F155" s="300"/>
      <c r="G155" s="300">
        <f>SUM(G75,G80,G85,G90,G95,G100,G105,G110,G115,G120,G125,G130,G135,G140,G145,G150)</f>
        <v>1077.5219999980429</v>
      </c>
      <c r="H155" s="300">
        <f t="shared" ref="H155:I155" si="398">SUM(H75,H80,H85,H90,H95,H100,H105,H110,H115,H120,H125,H130,H135,H140,H145,H150)</f>
        <v>40.132000000205856</v>
      </c>
      <c r="I155" s="300">
        <f t="shared" si="398"/>
        <v>83.612000000616575</v>
      </c>
      <c r="J155" s="300">
        <f t="shared" ref="J155:J156" si="399">SUM(G155:I155)</f>
        <v>1201.2659999988653</v>
      </c>
      <c r="K155" s="300"/>
      <c r="L155" s="300">
        <f>SUM(L75,L80,L85,L90,L95,L100,L105,L110,L115,L120,L125,L130,L135,L140,L145,L150)</f>
        <v>1026.103999998589</v>
      </c>
      <c r="M155" s="300">
        <f t="shared" ref="M155:N155" si="400">SUM(M75,M80,M85,M90,M95,M100,M105,M110,M115,M120,M125,M130,M135,M140,M145,M150)</f>
        <v>57.249000000078638</v>
      </c>
      <c r="N155" s="300">
        <f t="shared" si="400"/>
        <v>87.686999999727917</v>
      </c>
      <c r="O155" s="300">
        <f t="shared" ref="O155:O156" si="401">SUM(L155:N155)</f>
        <v>1171.0399999983956</v>
      </c>
      <c r="P155" s="300"/>
      <c r="Q155" s="300">
        <f>SUM(Q75,Q80,Q85,Q90,Q95,Q100,Q105,Q110,Q115,Q120,Q125,Q130,Q135,Q140,Q145,Q150)</f>
        <v>966.41700000091282</v>
      </c>
      <c r="R155" s="300">
        <f t="shared" ref="R155:S155" si="402">SUM(R75,R80,R85,R90,R95,R100,R105,R110,R115,R120,R125,R130,R135,R140,R145,R150)</f>
        <v>53.65599999999462</v>
      </c>
      <c r="S155" s="300">
        <f t="shared" si="402"/>
        <v>81.925999999101307</v>
      </c>
      <c r="T155" s="300">
        <f t="shared" ref="T155:T156" si="403">SUM(Q155:S155)</f>
        <v>1101.9990000000087</v>
      </c>
      <c r="U155" s="300"/>
      <c r="V155" s="300">
        <f>SUM(V75,V80,V85,V90,V95,V100,V105,V110,V115,V120,V125,V130,V135,V140,V145,V150)</f>
        <v>877.04600000023379</v>
      </c>
      <c r="W155" s="300">
        <f t="shared" ref="W155" si="404">SUM(W75,W80,W85,W90,W95,W100,W105,W110,W115,W120,W125,W130,W135,W140,W145,W150)</f>
        <v>49.054000000039316</v>
      </c>
      <c r="X155" s="300">
        <f>SUM(X75,X80,X85,X90,X95,X100,X105,X110,X115,X120,X125,X130,X135,X140,X145,X150)</f>
        <v>77.309999999530419</v>
      </c>
      <c r="Y155" s="300">
        <f t="shared" ref="Y155:Y156" si="405">SUM(V155:X155)</f>
        <v>1003.4099999998035</v>
      </c>
    </row>
    <row r="156" spans="1:25" ht="12.45" x14ac:dyDescent="0.3">
      <c r="A156" s="264" t="s">
        <v>354</v>
      </c>
      <c r="B156" s="301">
        <f>SUM(B154:B155)</f>
        <v>1271.0059999965024</v>
      </c>
      <c r="C156" s="301">
        <f t="shared" ref="C156" si="406">SUM(C154:C155)</f>
        <v>110.78300000171228</v>
      </c>
      <c r="D156" s="301">
        <f t="shared" ref="D156" si="407">SUM(D154:D155)</f>
        <v>145.77000000059843</v>
      </c>
      <c r="E156" s="301">
        <f t="shared" si="397"/>
        <v>1527.5589999988131</v>
      </c>
      <c r="F156" s="301"/>
      <c r="G156" s="301">
        <f>SUM(G154:G155)</f>
        <v>1312.517999994953</v>
      </c>
      <c r="H156" s="301">
        <f t="shared" ref="H156" si="408">SUM(H154:H155)</f>
        <v>115.96300000113499</v>
      </c>
      <c r="I156" s="301">
        <f t="shared" ref="I156" si="409">SUM(I154:I155)</f>
        <v>120.82600000116973</v>
      </c>
      <c r="J156" s="301">
        <f t="shared" si="399"/>
        <v>1549.3069999972577</v>
      </c>
      <c r="K156" s="301"/>
      <c r="L156" s="301">
        <f>SUM(L154:L155)</f>
        <v>1261.5269999965722</v>
      </c>
      <c r="M156" s="301">
        <f t="shared" ref="M156" si="410">SUM(M154:M155)</f>
        <v>132.46800000111628</v>
      </c>
      <c r="N156" s="301">
        <f t="shared" ref="N156" si="411">SUM(N154:N155)</f>
        <v>124.44999999926523</v>
      </c>
      <c r="O156" s="301">
        <f t="shared" si="401"/>
        <v>1518.4449999969536</v>
      </c>
      <c r="P156" s="301"/>
      <c r="Q156" s="301">
        <f>SUM(Q154:Q155)</f>
        <v>1190.4780000055346</v>
      </c>
      <c r="R156" s="301">
        <f t="shared" ref="R156" si="412">SUM(R154:R155)</f>
        <v>124.34900000131279</v>
      </c>
      <c r="S156" s="301">
        <f t="shared" ref="S156" si="413">SUM(S154:S155)</f>
        <v>115.09899999916867</v>
      </c>
      <c r="T156" s="301">
        <f t="shared" si="403"/>
        <v>1429.926000006016</v>
      </c>
      <c r="U156" s="301"/>
      <c r="V156" s="301">
        <f>SUM(V154:V155)</f>
        <v>1086.0060000006683</v>
      </c>
      <c r="W156" s="301">
        <f t="shared" ref="W156" si="414">SUM(W154:W155)</f>
        <v>114.12599999955717</v>
      </c>
      <c r="X156" s="301">
        <f t="shared" ref="X156" si="415">SUM(X154:X155)</f>
        <v>106.75999999971656</v>
      </c>
      <c r="Y156" s="301">
        <f t="shared" si="405"/>
        <v>1306.8919999999421</v>
      </c>
    </row>
    <row r="157" spans="1:25" ht="12.45" x14ac:dyDescent="0.3">
      <c r="C157" s="263"/>
    </row>
    <row r="158" spans="1:25" ht="12.45" x14ac:dyDescent="0.3">
      <c r="C158" s="263"/>
    </row>
    <row r="159" spans="1:25" ht="12.45" x14ac:dyDescent="0.3">
      <c r="C159" s="263"/>
    </row>
    <row r="160" spans="1:25" ht="14.15" x14ac:dyDescent="0.35">
      <c r="A160" s="265" t="str">
        <f>"Industry 6 : "&amp; name!B9</f>
        <v>Industry 6 : Electricity and gas</v>
      </c>
      <c r="B160" s="372">
        <f>$B$5</f>
        <v>2015</v>
      </c>
      <c r="C160" s="372"/>
      <c r="D160" s="372"/>
      <c r="E160" s="372"/>
      <c r="F160" s="320"/>
      <c r="G160" s="372">
        <f>$G$5</f>
        <v>2019</v>
      </c>
      <c r="H160" s="372"/>
      <c r="I160" s="372"/>
      <c r="J160" s="372"/>
      <c r="K160" s="320"/>
      <c r="L160" s="372">
        <f>$L$5</f>
        <v>2020</v>
      </c>
      <c r="M160" s="372"/>
      <c r="N160" s="372"/>
      <c r="O160" s="372"/>
      <c r="P160" s="318"/>
      <c r="Q160" s="372">
        <f>$Q$5</f>
        <v>2025</v>
      </c>
      <c r="R160" s="372"/>
      <c r="S160" s="372"/>
      <c r="T160" s="372"/>
      <c r="U160" s="320"/>
      <c r="V160" s="372">
        <f>$V$5</f>
        <v>2035</v>
      </c>
      <c r="W160" s="372"/>
      <c r="X160" s="372"/>
      <c r="Y160" s="372"/>
    </row>
    <row r="161" spans="1:25" ht="12.45" x14ac:dyDescent="0.3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ht="12.45" x14ac:dyDescent="0.3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ht="12.45" x14ac:dyDescent="0.3">
      <c r="A163" s="261" t="str">
        <f>name!A27</f>
        <v>Electricity, gas, etc</v>
      </c>
      <c r="C163" s="263"/>
    </row>
    <row r="164" spans="1:25" ht="12.45" x14ac:dyDescent="0.3">
      <c r="A164" s="260" t="s">
        <v>356</v>
      </c>
      <c r="B164" s="300">
        <v>20.401999999916431</v>
      </c>
      <c r="C164" s="300">
        <v>5.7500000000857581</v>
      </c>
      <c r="D164" s="300">
        <v>0.91000000000650183</v>
      </c>
      <c r="E164" s="300">
        <f>SUM(B164:D164)</f>
        <v>27.062000000008691</v>
      </c>
      <c r="F164" s="300"/>
      <c r="G164" s="300">
        <v>25.989999999812586</v>
      </c>
      <c r="H164" s="300">
        <v>6.5830000001007987</v>
      </c>
      <c r="I164" s="300">
        <v>9.0000000001076441E-3</v>
      </c>
      <c r="J164" s="300">
        <f>SUM(G164:I164)</f>
        <v>32.581999999913492</v>
      </c>
      <c r="K164" s="300"/>
      <c r="L164" s="300">
        <v>25.344999999890792</v>
      </c>
      <c r="M164" s="300">
        <v>6.6830000001102805</v>
      </c>
      <c r="N164" s="300">
        <v>1.9959999999930995</v>
      </c>
      <c r="O164" s="300">
        <f>SUM(L164:N164)</f>
        <v>34.023999999994174</v>
      </c>
      <c r="P164" s="300"/>
      <c r="Q164" s="300">
        <v>24.685000000630946</v>
      </c>
      <c r="R164" s="300">
        <v>6.4380000001961859</v>
      </c>
      <c r="S164" s="300">
        <v>1.9220000000194983</v>
      </c>
      <c r="T164" s="300">
        <f>SUM(Q164:S164)</f>
        <v>33.045000000846635</v>
      </c>
      <c r="U164" s="300"/>
      <c r="V164" s="300">
        <v>25.104999999768999</v>
      </c>
      <c r="W164" s="300">
        <v>6.4109999999348855</v>
      </c>
      <c r="X164" s="300">
        <v>1.9140000000894684</v>
      </c>
      <c r="Y164" s="300">
        <f>SUM(V164:X164)</f>
        <v>33.429999999793353</v>
      </c>
    </row>
    <row r="165" spans="1:25" ht="12.45" x14ac:dyDescent="0.3">
      <c r="A165" s="260" t="s">
        <v>355</v>
      </c>
      <c r="B165" s="300">
        <v>63.419999999573072</v>
      </c>
      <c r="C165" s="300">
        <v>1.6770000000045622</v>
      </c>
      <c r="D165" s="300">
        <v>6.6269999999781035</v>
      </c>
      <c r="E165" s="300">
        <f t="shared" ref="E165:E166" si="416">SUM(B165:D165)</f>
        <v>71.72399999955573</v>
      </c>
      <c r="F165" s="300"/>
      <c r="G165" s="300">
        <v>76.46899999956932</v>
      </c>
      <c r="H165" s="300">
        <v>2.641000000011942</v>
      </c>
      <c r="I165" s="300">
        <v>7.3109999999754836</v>
      </c>
      <c r="J165" s="300">
        <f t="shared" ref="J165:J166" si="417">SUM(G165:I165)</f>
        <v>86.420999999556741</v>
      </c>
      <c r="K165" s="300"/>
      <c r="L165" s="300">
        <v>78.405999999480784</v>
      </c>
      <c r="M165" s="300">
        <v>1.6989999999986098</v>
      </c>
      <c r="N165" s="300">
        <v>4.6020000000052805</v>
      </c>
      <c r="O165" s="300">
        <f t="shared" ref="O165:O166" si="418">SUM(L165:N165)</f>
        <v>84.706999999484665</v>
      </c>
      <c r="P165" s="300"/>
      <c r="Q165" s="300">
        <v>75.076999999936149</v>
      </c>
      <c r="R165" s="300">
        <v>1.6520000000027733</v>
      </c>
      <c r="S165" s="300">
        <v>4.4750000000668697</v>
      </c>
      <c r="T165" s="300">
        <f t="shared" ref="T165:T166" si="419">SUM(Q165:S165)</f>
        <v>81.204000000005792</v>
      </c>
      <c r="U165" s="300"/>
      <c r="V165" s="300">
        <v>73.850999999741489</v>
      </c>
      <c r="W165" s="300">
        <v>1.6810000000050587</v>
      </c>
      <c r="X165" s="300">
        <v>4.5320000000610898</v>
      </c>
      <c r="Y165" s="300">
        <f t="shared" ref="Y165:Y166" si="420">SUM(V165:X165)</f>
        <v>80.063999999807635</v>
      </c>
    </row>
    <row r="166" spans="1:25" ht="12.45" x14ac:dyDescent="0.3">
      <c r="A166" s="264" t="s">
        <v>354</v>
      </c>
      <c r="B166" s="301">
        <f>SUM(B164:B165)</f>
        <v>83.821999999489506</v>
      </c>
      <c r="C166" s="301">
        <f t="shared" ref="C166" si="421">SUM(C164:C165)</f>
        <v>7.4270000000903202</v>
      </c>
      <c r="D166" s="301">
        <f t="shared" ref="D166" si="422">SUM(D164:D165)</f>
        <v>7.5369999999846051</v>
      </c>
      <c r="E166" s="301">
        <f t="shared" si="416"/>
        <v>98.785999999564424</v>
      </c>
      <c r="F166" s="301"/>
      <c r="G166" s="301">
        <f>SUM(G164:G165)</f>
        <v>102.4589999993819</v>
      </c>
      <c r="H166" s="301">
        <f t="shared" ref="H166" si="423">SUM(H164:H165)</f>
        <v>9.2240000001127402</v>
      </c>
      <c r="I166" s="301">
        <f t="shared" ref="I166" si="424">SUM(I164:I165)</f>
        <v>7.3199999999755914</v>
      </c>
      <c r="J166" s="301">
        <f t="shared" si="417"/>
        <v>119.00299999947023</v>
      </c>
      <c r="K166" s="301"/>
      <c r="L166" s="301">
        <f>SUM(L164:L165)</f>
        <v>103.75099999937157</v>
      </c>
      <c r="M166" s="301">
        <f t="shared" ref="M166" si="425">SUM(M164:M165)</f>
        <v>8.3820000001088903</v>
      </c>
      <c r="N166" s="301">
        <f t="shared" ref="N166" si="426">SUM(N164:N165)</f>
        <v>6.5979999999983798</v>
      </c>
      <c r="O166" s="301">
        <f t="shared" si="418"/>
        <v>118.73099999947884</v>
      </c>
      <c r="P166" s="301"/>
      <c r="Q166" s="301">
        <f>SUM(Q164:Q165)</f>
        <v>99.762000000567099</v>
      </c>
      <c r="R166" s="301">
        <f t="shared" ref="R166" si="427">SUM(R164:R165)</f>
        <v>8.0900000001989589</v>
      </c>
      <c r="S166" s="301">
        <f t="shared" ref="S166" si="428">SUM(S164:S165)</f>
        <v>6.3970000000863685</v>
      </c>
      <c r="T166" s="301">
        <f t="shared" si="419"/>
        <v>114.24900000085242</v>
      </c>
      <c r="U166" s="301"/>
      <c r="V166" s="301">
        <f>SUM(V164:V165)</f>
        <v>98.955999999510482</v>
      </c>
      <c r="W166" s="301">
        <f t="shared" ref="W166" si="429">SUM(W164:W165)</f>
        <v>8.0919999999399437</v>
      </c>
      <c r="X166" s="301">
        <f t="shared" ref="X166" si="430">SUM(X164:X165)</f>
        <v>6.4460000001505584</v>
      </c>
      <c r="Y166" s="301">
        <f t="shared" si="420"/>
        <v>113.49399999960099</v>
      </c>
    </row>
    <row r="167" spans="1:25" ht="12.45" x14ac:dyDescent="0.3">
      <c r="C167" s="263"/>
    </row>
    <row r="168" spans="1:25" ht="12.45" x14ac:dyDescent="0.3">
      <c r="C168" s="263"/>
    </row>
    <row r="169" spans="1:25" ht="12.45" x14ac:dyDescent="0.3">
      <c r="C169" s="263"/>
    </row>
    <row r="170" spans="1:25" ht="14.15" x14ac:dyDescent="0.35">
      <c r="A170" s="265" t="str">
        <f>"Industry 7 : "&amp; name!B10</f>
        <v>Industry 7 : Water and sewerage</v>
      </c>
      <c r="B170" s="372">
        <f>$B$5</f>
        <v>2015</v>
      </c>
      <c r="C170" s="372"/>
      <c r="D170" s="372"/>
      <c r="E170" s="372"/>
      <c r="F170" s="320"/>
      <c r="G170" s="372">
        <f>$G$5</f>
        <v>2019</v>
      </c>
      <c r="H170" s="372"/>
      <c r="I170" s="372"/>
      <c r="J170" s="372"/>
      <c r="K170" s="320"/>
      <c r="L170" s="372">
        <f>$L$5</f>
        <v>2020</v>
      </c>
      <c r="M170" s="372"/>
      <c r="N170" s="372"/>
      <c r="O170" s="372"/>
      <c r="P170" s="318"/>
      <c r="Q170" s="372">
        <f>$Q$5</f>
        <v>2025</v>
      </c>
      <c r="R170" s="372"/>
      <c r="S170" s="372"/>
      <c r="T170" s="372"/>
      <c r="U170" s="320"/>
      <c r="V170" s="372">
        <f>$V$5</f>
        <v>2035</v>
      </c>
      <c r="W170" s="372"/>
      <c r="X170" s="372"/>
      <c r="Y170" s="372"/>
    </row>
    <row r="171" spans="1:25" ht="12.45" x14ac:dyDescent="0.3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ht="12.45" x14ac:dyDescent="0.3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ht="12.45" x14ac:dyDescent="0.3">
      <c r="A173" s="261" t="str">
        <f>name!A28</f>
        <v>Water</v>
      </c>
      <c r="C173" s="263"/>
    </row>
    <row r="174" spans="1:25" ht="12.45" x14ac:dyDescent="0.3">
      <c r="A174" s="260" t="s">
        <v>356</v>
      </c>
      <c r="B174" s="300">
        <v>6.9109999999329998</v>
      </c>
      <c r="C174" s="300">
        <v>3.0140000000171847</v>
      </c>
      <c r="D174" s="300">
        <v>1.3740000000087498</v>
      </c>
      <c r="E174" s="300">
        <f>SUM(B174:D174)</f>
        <v>11.298999999958934</v>
      </c>
      <c r="F174" s="300"/>
      <c r="G174" s="300">
        <v>7.9419999999077255</v>
      </c>
      <c r="H174" s="300">
        <v>2.7340000000288391</v>
      </c>
      <c r="I174" s="300">
        <v>0.2050000000019423</v>
      </c>
      <c r="J174" s="300">
        <f>SUM(G174:I174)</f>
        <v>10.880999999938506</v>
      </c>
      <c r="K174" s="300"/>
      <c r="L174" s="300">
        <v>7.0819999999347978</v>
      </c>
      <c r="M174" s="300">
        <v>2.5620000000207868</v>
      </c>
      <c r="N174" s="300">
        <v>0.23399999999817611</v>
      </c>
      <c r="O174" s="300">
        <f>SUM(L174:N174)</f>
        <v>9.8779999999537598</v>
      </c>
      <c r="P174" s="300"/>
      <c r="Q174" s="300">
        <v>7.7190000001675605</v>
      </c>
      <c r="R174" s="300">
        <v>2.7050000000428844</v>
      </c>
      <c r="S174" s="300">
        <v>0.24100000000092264</v>
      </c>
      <c r="T174" s="300">
        <f>SUM(Q174:S174)</f>
        <v>10.665000000211368</v>
      </c>
      <c r="U174" s="300"/>
      <c r="V174" s="300">
        <v>8.9190000000494365</v>
      </c>
      <c r="W174" s="300">
        <v>2.9369999999833527</v>
      </c>
      <c r="X174" s="300">
        <v>0.25200000000672035</v>
      </c>
      <c r="Y174" s="300">
        <f>SUM(V174:X174)</f>
        <v>12.10800000003951</v>
      </c>
    </row>
    <row r="175" spans="1:25" ht="12.45" x14ac:dyDescent="0.3">
      <c r="A175" s="260" t="s">
        <v>355</v>
      </c>
      <c r="B175" s="300">
        <v>19.014999999891014</v>
      </c>
      <c r="C175" s="300">
        <v>1.2320000000014708</v>
      </c>
      <c r="D175" s="300">
        <v>0.41899999999864146</v>
      </c>
      <c r="E175" s="300">
        <f t="shared" ref="E175:E176" si="431">SUM(B175:D175)</f>
        <v>20.665999999891124</v>
      </c>
      <c r="F175" s="300"/>
      <c r="G175" s="300">
        <v>26.610999999895508</v>
      </c>
      <c r="H175" s="300">
        <v>0.96799999999899455</v>
      </c>
      <c r="I175" s="300">
        <v>0.18200000000211916</v>
      </c>
      <c r="J175" s="300">
        <f t="shared" ref="J175:J176" si="432">SUM(G175:I175)</f>
        <v>27.760999999896622</v>
      </c>
      <c r="K175" s="300"/>
      <c r="L175" s="300">
        <v>23.499999999888605</v>
      </c>
      <c r="M175" s="300">
        <v>1.8650000000000702</v>
      </c>
      <c r="N175" s="300">
        <v>1.2389999999955663</v>
      </c>
      <c r="O175" s="300">
        <f t="shared" ref="O175:O176" si="433">SUM(L175:N175)</f>
        <v>26.603999999884241</v>
      </c>
      <c r="P175" s="300"/>
      <c r="Q175" s="300">
        <v>24.473000000021639</v>
      </c>
      <c r="R175" s="300">
        <v>1.9580000000024425</v>
      </c>
      <c r="S175" s="300">
        <v>1.2729999999870889</v>
      </c>
      <c r="T175" s="300">
        <f t="shared" ref="T175:T176" si="434">SUM(Q175:S175)</f>
        <v>27.70400000001117</v>
      </c>
      <c r="U175" s="300"/>
      <c r="V175" s="300">
        <v>25.891999999933496</v>
      </c>
      <c r="W175" s="300">
        <v>2.0880000000061991</v>
      </c>
      <c r="X175" s="300">
        <v>1.3289999999983031</v>
      </c>
      <c r="Y175" s="300">
        <f t="shared" ref="Y175:Y176" si="435">SUM(V175:X175)</f>
        <v>29.308999999937999</v>
      </c>
    </row>
    <row r="176" spans="1:25" ht="12.45" x14ac:dyDescent="0.3">
      <c r="A176" s="260" t="s">
        <v>354</v>
      </c>
      <c r="B176" s="300">
        <f>SUM(B174:B175)</f>
        <v>25.925999999824015</v>
      </c>
      <c r="C176" s="300">
        <f t="shared" ref="C176" si="436">SUM(C174:C175)</f>
        <v>4.2460000000186557</v>
      </c>
      <c r="D176" s="300">
        <f t="shared" ref="D176" si="437">SUM(D174:D175)</f>
        <v>1.7930000000073911</v>
      </c>
      <c r="E176" s="300">
        <f t="shared" si="431"/>
        <v>31.964999999850061</v>
      </c>
      <c r="F176" s="300"/>
      <c r="G176" s="300">
        <f>SUM(G174:G175)</f>
        <v>34.552999999803234</v>
      </c>
      <c r="H176" s="300">
        <f t="shared" ref="H176" si="438">SUM(H174:H175)</f>
        <v>3.7020000000278337</v>
      </c>
      <c r="I176" s="300">
        <f t="shared" ref="I176" si="439">SUM(I174:I175)</f>
        <v>0.38700000000406143</v>
      </c>
      <c r="J176" s="300">
        <f t="shared" si="432"/>
        <v>38.641999999835136</v>
      </c>
      <c r="K176" s="300"/>
      <c r="L176" s="300">
        <f>SUM(L174:L175)</f>
        <v>30.581999999823402</v>
      </c>
      <c r="M176" s="300">
        <f t="shared" ref="M176" si="440">SUM(M174:M175)</f>
        <v>4.4270000000208567</v>
      </c>
      <c r="N176" s="300">
        <f t="shared" ref="N176" si="441">SUM(N174:N175)</f>
        <v>1.4729999999937424</v>
      </c>
      <c r="O176" s="300">
        <f t="shared" si="433"/>
        <v>36.481999999837996</v>
      </c>
      <c r="P176" s="300"/>
      <c r="Q176" s="300">
        <f>SUM(Q174:Q175)</f>
        <v>32.192000000189196</v>
      </c>
      <c r="R176" s="300">
        <f t="shared" ref="R176" si="442">SUM(R174:R175)</f>
        <v>4.6630000000453267</v>
      </c>
      <c r="S176" s="300">
        <f t="shared" ref="S176" si="443">SUM(S174:S175)</f>
        <v>1.5139999999880116</v>
      </c>
      <c r="T176" s="300">
        <f t="shared" si="434"/>
        <v>38.369000000222535</v>
      </c>
      <c r="U176" s="300"/>
      <c r="V176" s="300">
        <f>SUM(V174:V175)</f>
        <v>34.810999999982933</v>
      </c>
      <c r="W176" s="300">
        <f t="shared" ref="W176" si="444">SUM(W174:W175)</f>
        <v>5.0249999999895518</v>
      </c>
      <c r="X176" s="300">
        <f t="shared" ref="X176" si="445">SUM(X174:X175)</f>
        <v>1.5810000000050235</v>
      </c>
      <c r="Y176" s="300">
        <f t="shared" si="435"/>
        <v>41.416999999977513</v>
      </c>
    </row>
    <row r="177" spans="1:25" ht="12.45" x14ac:dyDescent="0.3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ht="12.45" x14ac:dyDescent="0.3">
      <c r="A178" s="261" t="str">
        <f>name!A29</f>
        <v>Sewerage</v>
      </c>
      <c r="C178" s="263"/>
    </row>
    <row r="179" spans="1:25" ht="12.45" x14ac:dyDescent="0.3">
      <c r="A179" s="260" t="s">
        <v>356</v>
      </c>
      <c r="B179" s="300">
        <v>3.3179999999735972</v>
      </c>
      <c r="C179" s="300">
        <v>1.6200000000088821</v>
      </c>
      <c r="D179" s="300">
        <v>0.6640000000039824</v>
      </c>
      <c r="E179" s="300">
        <f>SUM(B179:D179)</f>
        <v>5.6019999999864618</v>
      </c>
      <c r="F179" s="300"/>
      <c r="G179" s="300">
        <v>4.8179999999583334</v>
      </c>
      <c r="H179" s="300">
        <v>1.2970000000081991</v>
      </c>
      <c r="I179" s="300">
        <v>0.20400000000143906</v>
      </c>
      <c r="J179" s="300">
        <f>SUM(G179:I179)</f>
        <v>6.3189999999679722</v>
      </c>
      <c r="K179" s="300"/>
      <c r="L179" s="300">
        <v>4.4949999999754642</v>
      </c>
      <c r="M179" s="300">
        <v>1.1060000000057184</v>
      </c>
      <c r="N179" s="300">
        <v>8.3999999999153377E-2</v>
      </c>
      <c r="O179" s="300">
        <f>SUM(L179:N179)</f>
        <v>5.6849999999803353</v>
      </c>
      <c r="P179" s="300"/>
      <c r="Q179" s="300">
        <v>4.8480000000755954</v>
      </c>
      <c r="R179" s="300">
        <v>1.1780000000149209</v>
      </c>
      <c r="S179" s="300">
        <v>8.7000000000066163E-2</v>
      </c>
      <c r="T179" s="300">
        <f>SUM(Q179:S179)</f>
        <v>6.1130000000905822</v>
      </c>
      <c r="U179" s="300"/>
      <c r="V179" s="300">
        <v>5.5030000000371038</v>
      </c>
      <c r="W179" s="300">
        <v>1.2980000000036434</v>
      </c>
      <c r="X179" s="300">
        <v>9.2000000000033916E-2</v>
      </c>
      <c r="Y179" s="300">
        <f>SUM(V179:X179)</f>
        <v>6.8930000000407814</v>
      </c>
    </row>
    <row r="180" spans="1:25" ht="12.45" x14ac:dyDescent="0.3">
      <c r="A180" s="260" t="s">
        <v>355</v>
      </c>
      <c r="B180" s="300">
        <v>14.5470000000824</v>
      </c>
      <c r="C180" s="300">
        <v>0.76900000001999214</v>
      </c>
      <c r="D180" s="300">
        <v>0.99699999999678546</v>
      </c>
      <c r="E180" s="300">
        <f t="shared" ref="E180:E181" si="446">SUM(B180:D180)</f>
        <v>16.313000000099176</v>
      </c>
      <c r="F180" s="300"/>
      <c r="G180" s="300">
        <v>14.34300000006278</v>
      </c>
      <c r="H180" s="300">
        <v>0.50300000000698519</v>
      </c>
      <c r="I180" s="300">
        <v>0.19100000000141382</v>
      </c>
      <c r="J180" s="300">
        <f t="shared" ref="J180:J181" si="447">SUM(G180:I180)</f>
        <v>15.037000000071178</v>
      </c>
      <c r="K180" s="300"/>
      <c r="L180" s="300">
        <v>12.908000000061993</v>
      </c>
      <c r="M180" s="300">
        <v>0.71099999999845354</v>
      </c>
      <c r="N180" s="300">
        <v>0.16699999999917939</v>
      </c>
      <c r="O180" s="300">
        <f t="shared" ref="O180:O181" si="448">SUM(L180:N180)</f>
        <v>13.786000000059625</v>
      </c>
      <c r="P180" s="300"/>
      <c r="Q180" s="300">
        <v>13.474000000102317</v>
      </c>
      <c r="R180" s="300">
        <v>0.75699999999800915</v>
      </c>
      <c r="S180" s="300">
        <v>0.17299999999809762</v>
      </c>
      <c r="T180" s="300">
        <f t="shared" ref="T180:T181" si="449">SUM(Q180:S180)</f>
        <v>14.404000000098423</v>
      </c>
      <c r="U180" s="300"/>
      <c r="V180" s="300">
        <v>14.318000000127723</v>
      </c>
      <c r="W180" s="300">
        <v>0.82699999999718254</v>
      </c>
      <c r="X180" s="300">
        <v>0.18799999999793135</v>
      </c>
      <c r="Y180" s="300">
        <f t="shared" ref="Y180:Y181" si="450">SUM(V180:X180)</f>
        <v>15.333000000122837</v>
      </c>
    </row>
    <row r="181" spans="1:25" ht="12.45" x14ac:dyDescent="0.3">
      <c r="A181" s="260" t="s">
        <v>354</v>
      </c>
      <c r="B181" s="300">
        <f>SUM(B179:B180)</f>
        <v>17.865000000055996</v>
      </c>
      <c r="C181" s="300">
        <f t="shared" ref="C181" si="451">SUM(C179:C180)</f>
        <v>2.389000000028874</v>
      </c>
      <c r="D181" s="300">
        <f t="shared" ref="D181" si="452">SUM(D179:D180)</f>
        <v>1.6610000000007679</v>
      </c>
      <c r="E181" s="300">
        <f t="shared" si="446"/>
        <v>21.915000000085641</v>
      </c>
      <c r="F181" s="300"/>
      <c r="G181" s="300">
        <f>SUM(G179:G180)</f>
        <v>19.161000000021112</v>
      </c>
      <c r="H181" s="300">
        <f t="shared" ref="H181" si="453">SUM(H179:H180)</f>
        <v>1.8000000000151843</v>
      </c>
      <c r="I181" s="300">
        <f t="shared" ref="I181" si="454">SUM(I179:I180)</f>
        <v>0.39500000000285285</v>
      </c>
      <c r="J181" s="300">
        <f t="shared" si="447"/>
        <v>21.356000000039149</v>
      </c>
      <c r="K181" s="300"/>
      <c r="L181" s="300">
        <f>SUM(L179:L180)</f>
        <v>17.403000000037459</v>
      </c>
      <c r="M181" s="300">
        <f t="shared" ref="M181" si="455">SUM(M179:M180)</f>
        <v>1.8170000000041719</v>
      </c>
      <c r="N181" s="300">
        <f t="shared" ref="N181" si="456">SUM(N179:N180)</f>
        <v>0.25099999999833278</v>
      </c>
      <c r="O181" s="300">
        <f t="shared" si="448"/>
        <v>19.471000000039961</v>
      </c>
      <c r="P181" s="300"/>
      <c r="Q181" s="300">
        <f>SUM(Q179:Q180)</f>
        <v>18.322000000177912</v>
      </c>
      <c r="R181" s="300">
        <f t="shared" ref="R181" si="457">SUM(R179:R180)</f>
        <v>1.9350000000129302</v>
      </c>
      <c r="S181" s="300">
        <f t="shared" ref="S181" si="458">SUM(S179:S180)</f>
        <v>0.25999999999816381</v>
      </c>
      <c r="T181" s="300">
        <f t="shared" si="449"/>
        <v>20.517000000189007</v>
      </c>
      <c r="U181" s="300"/>
      <c r="V181" s="300">
        <f>SUM(V179:V180)</f>
        <v>19.821000000164826</v>
      </c>
      <c r="W181" s="300">
        <f t="shared" ref="W181" si="459">SUM(W179:W180)</f>
        <v>2.125000000000826</v>
      </c>
      <c r="X181" s="300">
        <f t="shared" ref="X181" si="460">SUM(X179:X180)</f>
        <v>0.27999999999796527</v>
      </c>
      <c r="Y181" s="300">
        <f t="shared" si="450"/>
        <v>22.226000000163619</v>
      </c>
    </row>
    <row r="182" spans="1:25" ht="12.45" x14ac:dyDescent="0.3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ht="12.45" x14ac:dyDescent="0.3">
      <c r="A183" s="261" t="str">
        <f>name!A30</f>
        <v>Waste management</v>
      </c>
      <c r="C183" s="263"/>
    </row>
    <row r="184" spans="1:25" ht="12.45" x14ac:dyDescent="0.3">
      <c r="A184" s="260" t="s">
        <v>356</v>
      </c>
      <c r="B184" s="300">
        <v>17.26599999987053</v>
      </c>
      <c r="C184" s="300">
        <v>7.2940000000312848</v>
      </c>
      <c r="D184" s="300">
        <v>1.0050000000139552</v>
      </c>
      <c r="E184" s="300">
        <f>SUM(B184:D184)</f>
        <v>25.56499999991577</v>
      </c>
      <c r="F184" s="300"/>
      <c r="G184" s="300">
        <v>17.947999999829342</v>
      </c>
      <c r="H184" s="300">
        <v>8.9230000000295426</v>
      </c>
      <c r="I184" s="300">
        <v>1.8120000000245071</v>
      </c>
      <c r="J184" s="300">
        <f>SUM(G184:I184)</f>
        <v>28.682999999883393</v>
      </c>
      <c r="K184" s="300"/>
      <c r="L184" s="300">
        <v>16.436999999888194</v>
      </c>
      <c r="M184" s="300">
        <v>8.1140000000242782</v>
      </c>
      <c r="N184" s="300">
        <v>0.39999999999563673</v>
      </c>
      <c r="O184" s="300">
        <f>SUM(L184:N184)</f>
        <v>24.950999999908106</v>
      </c>
      <c r="P184" s="300"/>
      <c r="Q184" s="300">
        <v>17.945000000289358</v>
      </c>
      <c r="R184" s="300">
        <v>8.5890000000620876</v>
      </c>
      <c r="S184" s="300">
        <v>0.41400000000036619</v>
      </c>
      <c r="T184" s="300">
        <f>SUM(Q184:S184)</f>
        <v>26.948000000351815</v>
      </c>
      <c r="U184" s="300"/>
      <c r="V184" s="300">
        <v>20.820000000108511</v>
      </c>
      <c r="W184" s="300">
        <v>9.371999999992239</v>
      </c>
      <c r="X184" s="300">
        <v>0.43299999999984523</v>
      </c>
      <c r="Y184" s="300">
        <f>SUM(V184:X184)</f>
        <v>30.625000000100592</v>
      </c>
    </row>
    <row r="185" spans="1:25" ht="12.45" x14ac:dyDescent="0.3">
      <c r="A185" s="260" t="s">
        <v>355</v>
      </c>
      <c r="B185" s="300">
        <v>76.013000000283455</v>
      </c>
      <c r="C185" s="300">
        <v>3.4930000000491446</v>
      </c>
      <c r="D185" s="300">
        <v>4.3999999999282551</v>
      </c>
      <c r="E185" s="300">
        <f t="shared" ref="E185:E186" si="461">SUM(B185:D185)</f>
        <v>83.90600000026086</v>
      </c>
      <c r="F185" s="300"/>
      <c r="G185" s="300">
        <v>87.459000000236585</v>
      </c>
      <c r="H185" s="300">
        <v>3.3050000000251414</v>
      </c>
      <c r="I185" s="300">
        <v>6.1340000000680925</v>
      </c>
      <c r="J185" s="300">
        <f t="shared" ref="J185:J186" si="462">SUM(G185:I185)</f>
        <v>96.89800000032983</v>
      </c>
      <c r="K185" s="300"/>
      <c r="L185" s="300">
        <v>78.576000000153599</v>
      </c>
      <c r="M185" s="300">
        <v>7.7189999999582675</v>
      </c>
      <c r="N185" s="300">
        <v>4.4139999999303781</v>
      </c>
      <c r="O185" s="300">
        <f t="shared" ref="O185:O186" si="463">SUM(L185:N185)</f>
        <v>90.709000000042252</v>
      </c>
      <c r="P185" s="300"/>
      <c r="Q185" s="300">
        <v>81.967000000303855</v>
      </c>
      <c r="R185" s="300">
        <v>8.1189999999855242</v>
      </c>
      <c r="S185" s="300">
        <v>4.4709999998622267</v>
      </c>
      <c r="T185" s="300">
        <f t="shared" ref="T185:T186" si="464">SUM(Q185:S185)</f>
        <v>94.557000000151604</v>
      </c>
      <c r="U185" s="300"/>
      <c r="V185" s="300">
        <v>87.052000000282021</v>
      </c>
      <c r="W185" s="300">
        <v>8.7190000000295118</v>
      </c>
      <c r="X185" s="300">
        <v>4.404999999907937</v>
      </c>
      <c r="Y185" s="300">
        <f t="shared" ref="Y185:Y186" si="465">SUM(V185:X185)</f>
        <v>100.17600000021947</v>
      </c>
    </row>
    <row r="186" spans="1:25" ht="12.45" x14ac:dyDescent="0.3">
      <c r="A186" s="260" t="s">
        <v>354</v>
      </c>
      <c r="B186" s="300">
        <f>SUM(B184:B185)</f>
        <v>93.279000000153985</v>
      </c>
      <c r="C186" s="300">
        <f t="shared" ref="C186" si="466">SUM(C184:C185)</f>
        <v>10.787000000080429</v>
      </c>
      <c r="D186" s="300">
        <f t="shared" ref="D186" si="467">SUM(D184:D185)</f>
        <v>5.40499999994221</v>
      </c>
      <c r="E186" s="300">
        <f t="shared" si="461"/>
        <v>109.47100000017662</v>
      </c>
      <c r="F186" s="300"/>
      <c r="G186" s="300">
        <f>SUM(G184:G185)</f>
        <v>105.40700000006592</v>
      </c>
      <c r="H186" s="300">
        <f t="shared" ref="H186" si="468">SUM(H184:H185)</f>
        <v>12.228000000054685</v>
      </c>
      <c r="I186" s="300">
        <f t="shared" ref="I186" si="469">SUM(I184:I185)</f>
        <v>7.9460000000925994</v>
      </c>
      <c r="J186" s="300">
        <f t="shared" si="462"/>
        <v>125.58100000021321</v>
      </c>
      <c r="K186" s="300"/>
      <c r="L186" s="300">
        <f>SUM(L184:L185)</f>
        <v>95.013000000041785</v>
      </c>
      <c r="M186" s="300">
        <f t="shared" ref="M186" si="470">SUM(M184:M185)</f>
        <v>15.832999999982546</v>
      </c>
      <c r="N186" s="300">
        <f t="shared" ref="N186" si="471">SUM(N184:N185)</f>
        <v>4.8139999999260148</v>
      </c>
      <c r="O186" s="300">
        <f t="shared" si="463"/>
        <v>115.65999999995034</v>
      </c>
      <c r="P186" s="300"/>
      <c r="Q186" s="300">
        <f>SUM(Q184:Q185)</f>
        <v>99.91200000059321</v>
      </c>
      <c r="R186" s="300">
        <f t="shared" ref="R186" si="472">SUM(R184:R185)</f>
        <v>16.708000000047612</v>
      </c>
      <c r="S186" s="300">
        <f t="shared" ref="S186" si="473">SUM(S184:S185)</f>
        <v>4.8849999998625933</v>
      </c>
      <c r="T186" s="300">
        <f t="shared" si="464"/>
        <v>121.50500000050343</v>
      </c>
      <c r="U186" s="300"/>
      <c r="V186" s="300">
        <f>SUM(V184:V185)</f>
        <v>107.87200000039053</v>
      </c>
      <c r="W186" s="300">
        <f t="shared" ref="W186" si="474">SUM(W184:W185)</f>
        <v>18.091000000021751</v>
      </c>
      <c r="X186" s="300">
        <f t="shared" ref="X186" si="475">SUM(X184:X185)</f>
        <v>4.8379999999077823</v>
      </c>
      <c r="Y186" s="300">
        <f t="shared" si="465"/>
        <v>130.80100000032007</v>
      </c>
    </row>
    <row r="188" spans="1:25" ht="12.45" x14ac:dyDescent="0.3">
      <c r="A188" s="261" t="s">
        <v>369</v>
      </c>
      <c r="C188" s="263"/>
    </row>
    <row r="189" spans="1:25" ht="12.45" x14ac:dyDescent="0.3">
      <c r="A189" s="260" t="s">
        <v>356</v>
      </c>
      <c r="B189" s="300">
        <f>SUM(B174,B179,B184)</f>
        <v>27.494999999777129</v>
      </c>
      <c r="C189" s="300">
        <f t="shared" ref="C189:D189" si="476">SUM(C174,C179,C184)</f>
        <v>11.928000000057352</v>
      </c>
      <c r="D189" s="300">
        <f t="shared" si="476"/>
        <v>3.0430000000266872</v>
      </c>
      <c r="E189" s="300">
        <f>SUM(B189:D189)</f>
        <v>42.465999999861168</v>
      </c>
      <c r="F189" s="300"/>
      <c r="G189" s="300">
        <f>SUM(G174,G179,G184)</f>
        <v>30.707999999695403</v>
      </c>
      <c r="H189" s="300">
        <f t="shared" ref="H189:I189" si="477">SUM(H174,H179,H184)</f>
        <v>12.954000000066582</v>
      </c>
      <c r="I189" s="300">
        <f t="shared" si="477"/>
        <v>2.2210000000278884</v>
      </c>
      <c r="J189" s="300">
        <f>SUM(G189:I189)</f>
        <v>45.882999999789874</v>
      </c>
      <c r="K189" s="300"/>
      <c r="L189" s="300">
        <f>SUM(L174,L179,L184)</f>
        <v>28.013999999798457</v>
      </c>
      <c r="M189" s="300">
        <f t="shared" ref="M189:N189" si="478">SUM(M174,M179,M184)</f>
        <v>11.782000000050783</v>
      </c>
      <c r="N189" s="300">
        <f t="shared" si="478"/>
        <v>0.71799999999296626</v>
      </c>
      <c r="O189" s="300">
        <f>SUM(L189:N189)</f>
        <v>40.513999999842213</v>
      </c>
      <c r="P189" s="300"/>
      <c r="Q189" s="300">
        <f>SUM(Q174,Q179,Q184)</f>
        <v>30.512000000532513</v>
      </c>
      <c r="R189" s="300">
        <f t="shared" ref="R189:S189" si="479">SUM(R174,R179,R184)</f>
        <v>12.472000000119893</v>
      </c>
      <c r="S189" s="300">
        <f t="shared" si="479"/>
        <v>0.74200000000135502</v>
      </c>
      <c r="T189" s="300">
        <f>SUM(Q189:S189)</f>
        <v>43.726000000653762</v>
      </c>
      <c r="U189" s="300"/>
      <c r="V189" s="300">
        <f>SUM(V174,V179,V184)</f>
        <v>35.242000000195048</v>
      </c>
      <c r="W189" s="300">
        <f t="shared" ref="W189:X189" si="480">SUM(W174,W179,W184)</f>
        <v>13.606999999979235</v>
      </c>
      <c r="X189" s="300">
        <f t="shared" si="480"/>
        <v>0.77700000000659952</v>
      </c>
      <c r="Y189" s="300">
        <f>SUM(V189:X189)</f>
        <v>49.626000000180888</v>
      </c>
    </row>
    <row r="190" spans="1:25" ht="12.45" x14ac:dyDescent="0.3">
      <c r="A190" s="260" t="s">
        <v>355</v>
      </c>
      <c r="B190" s="300">
        <f>SUM(B175,B180,B185)</f>
        <v>109.57500000025686</v>
      </c>
      <c r="C190" s="300">
        <f t="shared" ref="C190:D190" si="481">SUM(C175,C180,C185)</f>
        <v>5.4940000000706082</v>
      </c>
      <c r="D190" s="300">
        <f t="shared" si="481"/>
        <v>5.8159999999236822</v>
      </c>
      <c r="E190" s="300">
        <f t="shared" ref="E190:E191" si="482">SUM(B190:D190)</f>
        <v>120.88500000025115</v>
      </c>
      <c r="F190" s="300"/>
      <c r="G190" s="300">
        <f>SUM(G175,G180,G185)</f>
        <v>128.41300000019487</v>
      </c>
      <c r="H190" s="300">
        <f t="shared" ref="H190:I190" si="483">SUM(H175,H180,H185)</f>
        <v>4.7760000000311216</v>
      </c>
      <c r="I190" s="300">
        <f t="shared" si="483"/>
        <v>6.5070000000716259</v>
      </c>
      <c r="J190" s="300">
        <f t="shared" ref="J190:J191" si="484">SUM(G190:I190)</f>
        <v>139.69600000029763</v>
      </c>
      <c r="K190" s="300"/>
      <c r="L190" s="300">
        <f>SUM(L175,L180,L185)</f>
        <v>114.9840000001042</v>
      </c>
      <c r="M190" s="300">
        <f t="shared" ref="M190:N190" si="485">SUM(M175,M180,M185)</f>
        <v>10.29499999995679</v>
      </c>
      <c r="N190" s="300">
        <f t="shared" si="485"/>
        <v>5.8199999999251233</v>
      </c>
      <c r="O190" s="300">
        <f t="shared" ref="O190:O191" si="486">SUM(L190:N190)</f>
        <v>131.09899999998612</v>
      </c>
      <c r="P190" s="300"/>
      <c r="Q190" s="300">
        <f>SUM(Q175,Q180,Q185)</f>
        <v>119.91400000042782</v>
      </c>
      <c r="R190" s="300">
        <f t="shared" ref="R190:S190" si="487">SUM(R175,R180,R185)</f>
        <v>10.833999999985975</v>
      </c>
      <c r="S190" s="300">
        <f t="shared" si="487"/>
        <v>5.9169999998474134</v>
      </c>
      <c r="T190" s="300">
        <f t="shared" ref="T190:T191" si="488">SUM(Q190:S190)</f>
        <v>136.66500000026119</v>
      </c>
      <c r="U190" s="300"/>
      <c r="V190" s="300">
        <f>SUM(V175,V180,V185)</f>
        <v>127.26200000034325</v>
      </c>
      <c r="W190" s="300">
        <f t="shared" ref="W190:X190" si="489">SUM(W175,W180,W185)</f>
        <v>11.634000000032893</v>
      </c>
      <c r="X190" s="300">
        <f t="shared" si="489"/>
        <v>5.9219999999041715</v>
      </c>
      <c r="Y190" s="300">
        <f t="shared" ref="Y190:Y191" si="490">SUM(V190:X190)</f>
        <v>144.81800000028031</v>
      </c>
    </row>
    <row r="191" spans="1:25" ht="12.45" x14ac:dyDescent="0.3">
      <c r="A191" s="264" t="s">
        <v>354</v>
      </c>
      <c r="B191" s="301">
        <f>SUM(B189:B190)</f>
        <v>137.07000000003399</v>
      </c>
      <c r="C191" s="301">
        <f t="shared" ref="C191" si="491">SUM(C189:C190)</f>
        <v>17.422000000127959</v>
      </c>
      <c r="D191" s="301">
        <f t="shared" ref="D191" si="492">SUM(D189:D190)</f>
        <v>8.8589999999503704</v>
      </c>
      <c r="E191" s="301">
        <f t="shared" si="482"/>
        <v>163.35100000011232</v>
      </c>
      <c r="F191" s="301"/>
      <c r="G191" s="301">
        <f>SUM(G189:G190)</f>
        <v>159.12099999989027</v>
      </c>
      <c r="H191" s="301">
        <f t="shared" ref="H191" si="493">SUM(H189:H190)</f>
        <v>17.730000000097704</v>
      </c>
      <c r="I191" s="301">
        <f t="shared" ref="I191" si="494">SUM(I189:I190)</f>
        <v>8.7280000000995148</v>
      </c>
      <c r="J191" s="301">
        <f t="shared" si="484"/>
        <v>185.57900000008749</v>
      </c>
      <c r="K191" s="301"/>
      <c r="L191" s="301">
        <f>SUM(L189:L190)</f>
        <v>142.99799999990267</v>
      </c>
      <c r="M191" s="301">
        <f t="shared" ref="M191" si="495">SUM(M189:M190)</f>
        <v>22.077000000007573</v>
      </c>
      <c r="N191" s="301">
        <f t="shared" ref="N191" si="496">SUM(N189:N190)</f>
        <v>6.5379999999180898</v>
      </c>
      <c r="O191" s="301">
        <f t="shared" si="486"/>
        <v>171.61299999982833</v>
      </c>
      <c r="P191" s="301"/>
      <c r="Q191" s="301">
        <f>SUM(Q189:Q190)</f>
        <v>150.42600000096033</v>
      </c>
      <c r="R191" s="301">
        <f t="shared" ref="R191" si="497">SUM(R189:R190)</f>
        <v>23.306000000105868</v>
      </c>
      <c r="S191" s="301">
        <f t="shared" ref="S191" si="498">SUM(S189:S190)</f>
        <v>6.6589999998487688</v>
      </c>
      <c r="T191" s="301">
        <f t="shared" si="488"/>
        <v>180.39100000091494</v>
      </c>
      <c r="U191" s="301"/>
      <c r="V191" s="301">
        <f>SUM(V189:V190)</f>
        <v>162.5040000005383</v>
      </c>
      <c r="W191" s="301">
        <f t="shared" ref="W191" si="499">SUM(W189:W190)</f>
        <v>25.241000000012129</v>
      </c>
      <c r="X191" s="301">
        <f t="shared" ref="X191" si="500">SUM(X189:X190)</f>
        <v>6.6989999999107708</v>
      </c>
      <c r="Y191" s="301">
        <f t="shared" si="490"/>
        <v>194.44400000046119</v>
      </c>
    </row>
    <row r="195" spans="1:25" ht="14.15" x14ac:dyDescent="0.35">
      <c r="A195" s="265" t="str">
        <f>"Industry 8 : "&amp; name!B11</f>
        <v>Industry 8 : Construction</v>
      </c>
      <c r="B195" s="372">
        <f>$B$5</f>
        <v>2015</v>
      </c>
      <c r="C195" s="372"/>
      <c r="D195" s="372"/>
      <c r="E195" s="372"/>
      <c r="F195" s="320"/>
      <c r="G195" s="372">
        <f>$G$5</f>
        <v>2019</v>
      </c>
      <c r="H195" s="372"/>
      <c r="I195" s="372"/>
      <c r="J195" s="372"/>
      <c r="K195" s="320"/>
      <c r="L195" s="372">
        <f>$L$5</f>
        <v>2020</v>
      </c>
      <c r="M195" s="372"/>
      <c r="N195" s="372"/>
      <c r="O195" s="372"/>
      <c r="P195" s="318"/>
      <c r="Q195" s="372">
        <f>$Q$5</f>
        <v>2025</v>
      </c>
      <c r="R195" s="372"/>
      <c r="S195" s="372"/>
      <c r="T195" s="372"/>
      <c r="U195" s="320"/>
      <c r="V195" s="372">
        <f>$V$5</f>
        <v>2035</v>
      </c>
      <c r="W195" s="372"/>
      <c r="X195" s="372"/>
      <c r="Y195" s="372"/>
    </row>
    <row r="196" spans="1:25" ht="12.45" x14ac:dyDescent="0.3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ht="12.45" x14ac:dyDescent="0.3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ht="12.45" x14ac:dyDescent="0.3">
      <c r="A198" s="261" t="str">
        <f>name!A31</f>
        <v>Construction</v>
      </c>
      <c r="C198" s="263"/>
    </row>
    <row r="199" spans="1:25" ht="12.45" x14ac:dyDescent="0.3">
      <c r="A199" s="260" t="s">
        <v>356</v>
      </c>
      <c r="B199" s="300">
        <v>59.765999999399419</v>
      </c>
      <c r="C199" s="300">
        <v>29.578000000301802</v>
      </c>
      <c r="D199" s="300">
        <v>11.985000000233374</v>
      </c>
      <c r="E199" s="300">
        <f>SUM(B199:D199)</f>
        <v>101.3289999999346</v>
      </c>
      <c r="F199" s="300"/>
      <c r="G199" s="300">
        <v>81.506999998821456</v>
      </c>
      <c r="H199" s="300">
        <v>32.041000000387356</v>
      </c>
      <c r="I199" s="300">
        <v>19.275000000433621</v>
      </c>
      <c r="J199" s="300">
        <f>SUM(G199:I199)</f>
        <v>132.82299999964243</v>
      </c>
      <c r="K199" s="300"/>
      <c r="L199" s="300">
        <v>82.741999999069733</v>
      </c>
      <c r="M199" s="300">
        <v>34.820000000142791</v>
      </c>
      <c r="N199" s="300">
        <v>23.255999999749637</v>
      </c>
      <c r="O199" s="300">
        <f>SUM(L199:N199)</f>
        <v>140.81799999896216</v>
      </c>
      <c r="P199" s="300"/>
      <c r="Q199" s="300">
        <v>88.029000001720121</v>
      </c>
      <c r="R199" s="300">
        <v>37.480000000365052</v>
      </c>
      <c r="S199" s="300">
        <v>24.411000000016902</v>
      </c>
      <c r="T199" s="300">
        <f>SUM(Q199:S199)</f>
        <v>149.92000000210209</v>
      </c>
      <c r="U199" s="300"/>
      <c r="V199" s="300">
        <v>96.950000000537827</v>
      </c>
      <c r="W199" s="300">
        <v>41.904999999694979</v>
      </c>
      <c r="X199" s="300">
        <v>27.360000000018797</v>
      </c>
      <c r="Y199" s="300">
        <f>SUM(V199:X199)</f>
        <v>166.21500000025159</v>
      </c>
    </row>
    <row r="200" spans="1:25" ht="12.45" x14ac:dyDescent="0.3">
      <c r="A200" s="260" t="s">
        <v>355</v>
      </c>
      <c r="B200" s="300">
        <v>248.70200000088622</v>
      </c>
      <c r="C200" s="300">
        <v>16.063000000158109</v>
      </c>
      <c r="D200" s="300">
        <v>192.54699999427945</v>
      </c>
      <c r="E200" s="300">
        <f t="shared" ref="E200:E201" si="501">SUM(B200:D200)</f>
        <v>457.31199999532373</v>
      </c>
      <c r="F200" s="300"/>
      <c r="G200" s="300">
        <v>298.47400000104801</v>
      </c>
      <c r="H200" s="300">
        <v>15.55300000014743</v>
      </c>
      <c r="I200" s="300">
        <v>210.85900000545971</v>
      </c>
      <c r="J200" s="300">
        <f t="shared" ref="J200:J201" si="502">SUM(G200:I200)</f>
        <v>524.88600000665519</v>
      </c>
      <c r="K200" s="300"/>
      <c r="L200" s="300">
        <v>294.92099999954706</v>
      </c>
      <c r="M200" s="300">
        <v>24.305999999940486</v>
      </c>
      <c r="N200" s="300">
        <v>203.87299999251488</v>
      </c>
      <c r="O200" s="300">
        <f t="shared" ref="O200:O201" si="503">SUM(L200:N200)</f>
        <v>523.09999999200238</v>
      </c>
      <c r="P200" s="300"/>
      <c r="Q200" s="300">
        <v>307.19900000021551</v>
      </c>
      <c r="R200" s="300">
        <v>26.274999999932746</v>
      </c>
      <c r="S200" s="300">
        <v>217.1509999775983</v>
      </c>
      <c r="T200" s="300">
        <f t="shared" ref="T200:T201" si="504">SUM(Q200:S200)</f>
        <v>550.62499997774648</v>
      </c>
      <c r="U200" s="300"/>
      <c r="V200" s="300">
        <v>321.91600000028279</v>
      </c>
      <c r="W200" s="300">
        <v>29.677999999857406</v>
      </c>
      <c r="X200" s="300">
        <v>239.80899998269172</v>
      </c>
      <c r="Y200" s="300">
        <f t="shared" ref="Y200:Y201" si="505">SUM(V200:X200)</f>
        <v>591.40299998283194</v>
      </c>
    </row>
    <row r="201" spans="1:25" ht="12.45" x14ac:dyDescent="0.3">
      <c r="A201" s="260" t="s">
        <v>354</v>
      </c>
      <c r="B201" s="300">
        <f>SUM(B199:B200)</f>
        <v>308.46800000028566</v>
      </c>
      <c r="C201" s="300">
        <f t="shared" ref="C201" si="506">SUM(C199:C200)</f>
        <v>45.641000000459911</v>
      </c>
      <c r="D201" s="300">
        <f t="shared" ref="D201" si="507">SUM(D199:D200)</f>
        <v>204.53199999451283</v>
      </c>
      <c r="E201" s="300">
        <f t="shared" si="501"/>
        <v>558.64099999525843</v>
      </c>
      <c r="F201" s="300"/>
      <c r="G201" s="300">
        <f>SUM(G199:G200)</f>
        <v>379.98099999986948</v>
      </c>
      <c r="H201" s="300">
        <f t="shared" ref="H201" si="508">SUM(H199:H200)</f>
        <v>47.594000000534784</v>
      </c>
      <c r="I201" s="300">
        <f t="shared" ref="I201" si="509">SUM(I199:I200)</f>
        <v>230.13400000589331</v>
      </c>
      <c r="J201" s="300">
        <f t="shared" si="502"/>
        <v>657.70900000629763</v>
      </c>
      <c r="K201" s="300"/>
      <c r="L201" s="300">
        <f>SUM(L199:L200)</f>
        <v>377.66299999861678</v>
      </c>
      <c r="M201" s="300">
        <f t="shared" ref="M201" si="510">SUM(M199:M200)</f>
        <v>59.12600000008328</v>
      </c>
      <c r="N201" s="300">
        <f t="shared" ref="N201" si="511">SUM(N199:N200)</f>
        <v>227.12899999226451</v>
      </c>
      <c r="O201" s="300">
        <f t="shared" si="503"/>
        <v>663.91799999096463</v>
      </c>
      <c r="P201" s="300"/>
      <c r="Q201" s="300">
        <f>SUM(Q199:Q200)</f>
        <v>395.22800000193564</v>
      </c>
      <c r="R201" s="300">
        <f t="shared" ref="R201" si="512">SUM(R199:R200)</f>
        <v>63.755000000297798</v>
      </c>
      <c r="S201" s="300">
        <f t="shared" ref="S201" si="513">SUM(S199:S200)</f>
        <v>241.56199997761522</v>
      </c>
      <c r="T201" s="300">
        <f t="shared" si="504"/>
        <v>700.54499997984863</v>
      </c>
      <c r="U201" s="300"/>
      <c r="V201" s="300">
        <f>SUM(V199:V200)</f>
        <v>418.86600000082063</v>
      </c>
      <c r="W201" s="300">
        <f t="shared" ref="W201" si="514">SUM(W199:W200)</f>
        <v>71.582999999552385</v>
      </c>
      <c r="X201" s="300">
        <f t="shared" ref="X201" si="515">SUM(X199:X200)</f>
        <v>267.16899998271049</v>
      </c>
      <c r="Y201" s="300">
        <f t="shared" si="505"/>
        <v>757.61799998308356</v>
      </c>
    </row>
    <row r="202" spans="1:25" ht="12.45" x14ac:dyDescent="0.3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ht="12.45" x14ac:dyDescent="0.3">
      <c r="A203" s="261" t="str">
        <f>name!A32</f>
        <v>Civil engineering</v>
      </c>
      <c r="C203" s="263"/>
    </row>
    <row r="204" spans="1:25" ht="12.45" x14ac:dyDescent="0.3">
      <c r="A204" s="260" t="s">
        <v>356</v>
      </c>
      <c r="B204" s="300">
        <v>11.487999999875909</v>
      </c>
      <c r="C204" s="300">
        <v>7.9000000000867425</v>
      </c>
      <c r="D204" s="300">
        <v>2.5650000000512363</v>
      </c>
      <c r="E204" s="300">
        <f>SUM(B204:D204)</f>
        <v>21.953000000013887</v>
      </c>
      <c r="F204" s="300"/>
      <c r="G204" s="300">
        <v>13.832999999805475</v>
      </c>
      <c r="H204" s="300">
        <v>8.1350000000818099</v>
      </c>
      <c r="I204" s="300">
        <v>3.9570000000802068</v>
      </c>
      <c r="J204" s="300">
        <f>SUM(G204:I204)</f>
        <v>25.92499999996749</v>
      </c>
      <c r="K204" s="300"/>
      <c r="L204" s="300">
        <v>14.152999999825179</v>
      </c>
      <c r="M204" s="300">
        <v>8.8930000000643652</v>
      </c>
      <c r="N204" s="300">
        <v>1.8359999999823671</v>
      </c>
      <c r="O204" s="300">
        <f>SUM(L204:N204)</f>
        <v>24.881999999871912</v>
      </c>
      <c r="P204" s="300"/>
      <c r="Q204" s="300">
        <v>14.758000000308551</v>
      </c>
      <c r="R204" s="300">
        <v>9.3020000001302598</v>
      </c>
      <c r="S204" s="300">
        <v>2.2530000000038704</v>
      </c>
      <c r="T204" s="300">
        <f>SUM(Q204:S204)</f>
        <v>26.313000000442681</v>
      </c>
      <c r="U204" s="300"/>
      <c r="V204" s="300">
        <v>15.941000000122768</v>
      </c>
      <c r="W204" s="300">
        <v>10.109999999952034</v>
      </c>
      <c r="X204" s="300">
        <v>3.0450000000024993</v>
      </c>
      <c r="Y204" s="300">
        <f>SUM(V204:X204)</f>
        <v>29.0960000000773</v>
      </c>
    </row>
    <row r="205" spans="1:25" ht="12.45" x14ac:dyDescent="0.3">
      <c r="A205" s="260" t="s">
        <v>355</v>
      </c>
      <c r="B205" s="300">
        <v>122.34500000042559</v>
      </c>
      <c r="C205" s="300">
        <v>4.6000000000355863</v>
      </c>
      <c r="D205" s="300">
        <v>98.092999997043464</v>
      </c>
      <c r="E205" s="300">
        <f t="shared" ref="E205:E206" si="516">SUM(B205:D205)</f>
        <v>225.03799999750464</v>
      </c>
      <c r="F205" s="300"/>
      <c r="G205" s="300">
        <v>134.58700000040409</v>
      </c>
      <c r="H205" s="300">
        <v>4.7160000000310163</v>
      </c>
      <c r="I205" s="300">
        <v>97.461000002426857</v>
      </c>
      <c r="J205" s="300">
        <f t="shared" ref="J205:J206" si="517">SUM(G205:I205)</f>
        <v>236.76400000286196</v>
      </c>
      <c r="K205" s="300"/>
      <c r="L205" s="300">
        <v>132.75900000005009</v>
      </c>
      <c r="M205" s="300">
        <v>7.5370000000073158</v>
      </c>
      <c r="N205" s="300">
        <v>96.111999996821055</v>
      </c>
      <c r="O205" s="300">
        <f t="shared" ref="O205:O206" si="518">SUM(L205:N205)</f>
        <v>236.40799999687846</v>
      </c>
      <c r="P205" s="300"/>
      <c r="Q205" s="300">
        <v>137.17200000040972</v>
      </c>
      <c r="R205" s="300">
        <v>7.9270000000133072</v>
      </c>
      <c r="S205" s="300">
        <v>101.53799999000699</v>
      </c>
      <c r="T205" s="300">
        <f t="shared" ref="T205:T206" si="519">SUM(Q205:S205)</f>
        <v>246.63699999043001</v>
      </c>
      <c r="U205" s="300"/>
      <c r="V205" s="300">
        <v>142.49700000039675</v>
      </c>
      <c r="W205" s="300">
        <v>8.7040000000004216</v>
      </c>
      <c r="X205" s="300">
        <v>111.16999999244707</v>
      </c>
      <c r="Y205" s="300">
        <f t="shared" ref="Y205:Y206" si="520">SUM(V205:X205)</f>
        <v>262.37099999284425</v>
      </c>
    </row>
    <row r="206" spans="1:25" ht="12.45" x14ac:dyDescent="0.3">
      <c r="A206" s="260" t="s">
        <v>354</v>
      </c>
      <c r="B206" s="300">
        <f>SUM(B204:B205)</f>
        <v>133.8330000003015</v>
      </c>
      <c r="C206" s="300">
        <f t="shared" ref="C206" si="521">SUM(C204:C205)</f>
        <v>12.500000000122329</v>
      </c>
      <c r="D206" s="300">
        <f t="shared" ref="D206" si="522">SUM(D204:D205)</f>
        <v>100.65799999709471</v>
      </c>
      <c r="E206" s="300">
        <f t="shared" si="516"/>
        <v>246.99099999751854</v>
      </c>
      <c r="F206" s="300"/>
      <c r="G206" s="300">
        <f>SUM(G204:G205)</f>
        <v>148.42000000020957</v>
      </c>
      <c r="H206" s="300">
        <f t="shared" ref="H206" si="523">SUM(H204:H205)</f>
        <v>12.851000000112826</v>
      </c>
      <c r="I206" s="300">
        <f t="shared" ref="I206" si="524">SUM(I204:I205)</f>
        <v>101.41800000250706</v>
      </c>
      <c r="J206" s="300">
        <f t="shared" si="517"/>
        <v>262.68900000282946</v>
      </c>
      <c r="K206" s="300"/>
      <c r="L206" s="300">
        <f>SUM(L204:L205)</f>
        <v>146.91199999987526</v>
      </c>
      <c r="M206" s="300">
        <f t="shared" ref="M206" si="525">SUM(M204:M205)</f>
        <v>16.430000000071679</v>
      </c>
      <c r="N206" s="300">
        <f t="shared" ref="N206" si="526">SUM(N204:N205)</f>
        <v>97.947999996803418</v>
      </c>
      <c r="O206" s="300">
        <f t="shared" si="518"/>
        <v>261.28999999675034</v>
      </c>
      <c r="P206" s="300"/>
      <c r="Q206" s="300">
        <f>SUM(Q204:Q205)</f>
        <v>151.93000000071828</v>
      </c>
      <c r="R206" s="300">
        <f t="shared" ref="R206" si="527">SUM(R204:R205)</f>
        <v>17.229000000143568</v>
      </c>
      <c r="S206" s="300">
        <f t="shared" ref="S206" si="528">SUM(S204:S205)</f>
        <v>103.79099999001086</v>
      </c>
      <c r="T206" s="300">
        <f t="shared" si="519"/>
        <v>272.9499999908727</v>
      </c>
      <c r="U206" s="300"/>
      <c r="V206" s="300">
        <f>SUM(V204:V205)</f>
        <v>158.43800000051951</v>
      </c>
      <c r="W206" s="300">
        <f t="shared" ref="W206" si="529">SUM(W204:W205)</f>
        <v>18.813999999952458</v>
      </c>
      <c r="X206" s="300">
        <f t="shared" ref="X206" si="530">SUM(X204:X205)</f>
        <v>114.21499999244958</v>
      </c>
      <c r="Y206" s="300">
        <f t="shared" si="520"/>
        <v>291.46699999292156</v>
      </c>
    </row>
    <row r="207" spans="1:25" ht="12.45" x14ac:dyDescent="0.3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ht="12.45" x14ac:dyDescent="0.3">
      <c r="A208" s="261" t="str">
        <f>name!A33</f>
        <v>Specialised construction</v>
      </c>
      <c r="C208" s="263"/>
    </row>
    <row r="209" spans="1:25" ht="12.45" x14ac:dyDescent="0.3">
      <c r="A209" s="260" t="s">
        <v>356</v>
      </c>
      <c r="B209" s="300">
        <v>56.621999999431139</v>
      </c>
      <c r="C209" s="300">
        <v>53.622000000523606</v>
      </c>
      <c r="D209" s="300">
        <v>14.265000000257293</v>
      </c>
      <c r="E209" s="300">
        <f>SUM(B209:D209)</f>
        <v>124.50900000021204</v>
      </c>
      <c r="F209" s="300"/>
      <c r="G209" s="300">
        <v>67.880999999085802</v>
      </c>
      <c r="H209" s="300">
        <v>62.043000000664428</v>
      </c>
      <c r="I209" s="300">
        <v>19.798000000400336</v>
      </c>
      <c r="J209" s="300">
        <f>SUM(G209:I209)</f>
        <v>149.72200000015056</v>
      </c>
      <c r="K209" s="300"/>
      <c r="L209" s="300">
        <v>68.751999999220644</v>
      </c>
      <c r="M209" s="300">
        <v>67.288000000400174</v>
      </c>
      <c r="N209" s="300">
        <v>13.319999999862242</v>
      </c>
      <c r="O209" s="300">
        <f>SUM(L209:N209)</f>
        <v>149.35999999948305</v>
      </c>
      <c r="P209" s="300"/>
      <c r="Q209" s="300">
        <v>72.36900000151897</v>
      </c>
      <c r="R209" s="300">
        <v>71.372000000758646</v>
      </c>
      <c r="S209" s="300">
        <v>14.290000000013462</v>
      </c>
      <c r="T209" s="300">
        <f>SUM(Q209:S209)</f>
        <v>158.03100000229108</v>
      </c>
      <c r="U209" s="300"/>
      <c r="V209" s="300">
        <v>78.83700000055147</v>
      </c>
      <c r="W209" s="300">
        <v>78.612999999470219</v>
      </c>
      <c r="X209" s="300">
        <v>15.741000000028226</v>
      </c>
      <c r="Y209" s="300">
        <f>SUM(V209:X209)</f>
        <v>173.19100000004994</v>
      </c>
    </row>
    <row r="210" spans="1:25" ht="12.45" x14ac:dyDescent="0.3">
      <c r="A210" s="260" t="s">
        <v>355</v>
      </c>
      <c r="B210" s="300">
        <v>480.49500000111505</v>
      </c>
      <c r="C210" s="300">
        <v>22.216000000180159</v>
      </c>
      <c r="D210" s="300">
        <v>367.50199998806249</v>
      </c>
      <c r="E210" s="300">
        <f t="shared" ref="E210:E211" si="531">SUM(B210:D210)</f>
        <v>870.21299998935774</v>
      </c>
      <c r="F210" s="300"/>
      <c r="G210" s="300">
        <v>512.77900000103716</v>
      </c>
      <c r="H210" s="300">
        <v>24.066000000182427</v>
      </c>
      <c r="I210" s="300">
        <v>389.79200000898004</v>
      </c>
      <c r="J210" s="300">
        <f t="shared" ref="J210:J211" si="532">SUM(G210:I210)</f>
        <v>926.63700001019959</v>
      </c>
      <c r="K210" s="300"/>
      <c r="L210" s="300">
        <v>506.45899999982754</v>
      </c>
      <c r="M210" s="300">
        <v>38.038999999932088</v>
      </c>
      <c r="N210" s="300">
        <v>380.72899998672108</v>
      </c>
      <c r="O210" s="300">
        <f t="shared" ref="O210:O211" si="533">SUM(L210:N210)</f>
        <v>925.22699998648068</v>
      </c>
      <c r="P210" s="300"/>
      <c r="Q210" s="300">
        <v>523.0690000008525</v>
      </c>
      <c r="R210" s="300">
        <v>40.767999999947548</v>
      </c>
      <c r="S210" s="300">
        <v>402.58799995945452</v>
      </c>
      <c r="T210" s="300">
        <f t="shared" ref="T210:T211" si="534">SUM(Q210:S210)</f>
        <v>966.42499996025458</v>
      </c>
      <c r="U210" s="300"/>
      <c r="V210" s="300">
        <v>543.00200000116854</v>
      </c>
      <c r="W210" s="300">
        <v>45.593999999881262</v>
      </c>
      <c r="X210" s="300">
        <v>441.04499996971521</v>
      </c>
      <c r="Y210" s="300">
        <f t="shared" ref="Y210:Y211" si="535">SUM(V210:X210)</f>
        <v>1029.6409999707651</v>
      </c>
    </row>
    <row r="211" spans="1:25" ht="12.45" x14ac:dyDescent="0.3">
      <c r="A211" s="260" t="s">
        <v>354</v>
      </c>
      <c r="B211" s="300">
        <f>SUM(B209:B210)</f>
        <v>537.11700000054623</v>
      </c>
      <c r="C211" s="300">
        <f t="shared" ref="C211" si="536">SUM(C209:C210)</f>
        <v>75.838000000703772</v>
      </c>
      <c r="D211" s="300">
        <f t="shared" ref="D211" si="537">SUM(D209:D210)</f>
        <v>381.76699998831981</v>
      </c>
      <c r="E211" s="300">
        <f t="shared" si="531"/>
        <v>994.72199998956989</v>
      </c>
      <c r="F211" s="300"/>
      <c r="G211" s="300">
        <f>SUM(G209:G210)</f>
        <v>580.66000000012298</v>
      </c>
      <c r="H211" s="300">
        <f t="shared" ref="H211" si="538">SUM(H209:H210)</f>
        <v>86.109000000846862</v>
      </c>
      <c r="I211" s="300">
        <f t="shared" ref="I211" si="539">SUM(I209:I210)</f>
        <v>409.59000000938039</v>
      </c>
      <c r="J211" s="300">
        <f t="shared" si="532"/>
        <v>1076.3590000103502</v>
      </c>
      <c r="K211" s="300"/>
      <c r="L211" s="300">
        <f>SUM(L209:L210)</f>
        <v>575.21099999904823</v>
      </c>
      <c r="M211" s="300">
        <f t="shared" ref="M211" si="540">SUM(M209:M210)</f>
        <v>105.32700000033226</v>
      </c>
      <c r="N211" s="300">
        <f t="shared" ref="N211" si="541">SUM(N209:N210)</f>
        <v>394.04899998658334</v>
      </c>
      <c r="O211" s="300">
        <f t="shared" si="533"/>
        <v>1074.5869999859638</v>
      </c>
      <c r="P211" s="300"/>
      <c r="Q211" s="300">
        <f>SUM(Q209:Q210)</f>
        <v>595.4380000023715</v>
      </c>
      <c r="R211" s="300">
        <f t="shared" ref="R211" si="542">SUM(R209:R210)</f>
        <v>112.14000000070619</v>
      </c>
      <c r="S211" s="300">
        <f t="shared" ref="S211" si="543">SUM(S209:S210)</f>
        <v>416.87799995946796</v>
      </c>
      <c r="T211" s="300">
        <f t="shared" si="534"/>
        <v>1124.4559999625458</v>
      </c>
      <c r="U211" s="300"/>
      <c r="V211" s="300">
        <f>SUM(V209:V210)</f>
        <v>621.83900000172002</v>
      </c>
      <c r="W211" s="300">
        <f t="shared" ref="W211" si="544">SUM(W209:W210)</f>
        <v>124.20699999935148</v>
      </c>
      <c r="X211" s="300">
        <f t="shared" ref="X211" si="545">SUM(X209:X210)</f>
        <v>456.78599996974344</v>
      </c>
      <c r="Y211" s="300">
        <f t="shared" si="535"/>
        <v>1202.8319999708151</v>
      </c>
    </row>
    <row r="212" spans="1:25" ht="12.45" x14ac:dyDescent="0.3">
      <c r="C212" s="263"/>
    </row>
    <row r="213" spans="1:25" ht="12.45" x14ac:dyDescent="0.3">
      <c r="A213" s="261" t="s">
        <v>368</v>
      </c>
      <c r="C213" s="263"/>
    </row>
    <row r="214" spans="1:25" ht="12.45" x14ac:dyDescent="0.3">
      <c r="A214" s="260" t="s">
        <v>356</v>
      </c>
      <c r="B214" s="300">
        <f>SUM(B199,B204,B209)</f>
        <v>127.87599999870646</v>
      </c>
      <c r="C214" s="300">
        <f t="shared" ref="C214:D214" si="546">SUM(C199,C204,C209)</f>
        <v>91.100000000912161</v>
      </c>
      <c r="D214" s="300">
        <f t="shared" si="546"/>
        <v>28.815000000541904</v>
      </c>
      <c r="E214" s="300">
        <f>SUM(B214:D214)</f>
        <v>247.79100000016055</v>
      </c>
      <c r="F214" s="300"/>
      <c r="G214" s="300">
        <f>SUM(G199,G204,G209)</f>
        <v>163.22099999771274</v>
      </c>
      <c r="H214" s="300">
        <f t="shared" ref="H214:I214" si="547">SUM(H199,H204,H209)</f>
        <v>102.21900000113359</v>
      </c>
      <c r="I214" s="300">
        <f t="shared" si="547"/>
        <v>43.030000000914164</v>
      </c>
      <c r="J214" s="300">
        <f>SUM(G214:I214)</f>
        <v>308.46999999976055</v>
      </c>
      <c r="K214" s="300"/>
      <c r="L214" s="300">
        <f>SUM(L199,L204,L209)</f>
        <v>165.64699999811558</v>
      </c>
      <c r="M214" s="300">
        <f t="shared" ref="M214:N214" si="548">SUM(M199,M204,M209)</f>
        <v>111.00100000060733</v>
      </c>
      <c r="N214" s="300">
        <f t="shared" si="548"/>
        <v>38.411999999594244</v>
      </c>
      <c r="O214" s="300">
        <f>SUM(L214:N214)</f>
        <v>315.05999999831715</v>
      </c>
      <c r="P214" s="300"/>
      <c r="Q214" s="300">
        <f>SUM(Q199,Q204,Q209)</f>
        <v>175.15600000354766</v>
      </c>
      <c r="R214" s="300">
        <f t="shared" ref="R214:S214" si="549">SUM(R199,R204,R209)</f>
        <v>118.15400000125396</v>
      </c>
      <c r="S214" s="300">
        <f t="shared" si="549"/>
        <v>40.954000000034235</v>
      </c>
      <c r="T214" s="300">
        <f>SUM(Q214:S214)</f>
        <v>334.26400000483585</v>
      </c>
      <c r="U214" s="300"/>
      <c r="V214" s="300">
        <f>SUM(V199,V204,V209)</f>
        <v>191.72800000121208</v>
      </c>
      <c r="W214" s="300">
        <f t="shared" ref="W214:X214" si="550">SUM(W199,W204,W209)</f>
        <v>130.62799999911724</v>
      </c>
      <c r="X214" s="300">
        <f t="shared" si="550"/>
        <v>46.146000000049526</v>
      </c>
      <c r="Y214" s="300">
        <f>SUM(V214:X214)</f>
        <v>368.50200000037887</v>
      </c>
    </row>
    <row r="215" spans="1:25" ht="12.45" x14ac:dyDescent="0.3">
      <c r="A215" s="260" t="s">
        <v>355</v>
      </c>
      <c r="B215" s="300">
        <f>SUM(B200,B205,B210)</f>
        <v>851.5420000024269</v>
      </c>
      <c r="C215" s="300">
        <f t="shared" ref="C215:D215" si="551">SUM(C200,C205,C210)</f>
        <v>42.87900000037385</v>
      </c>
      <c r="D215" s="300">
        <f t="shared" si="551"/>
        <v>658.14199997938545</v>
      </c>
      <c r="E215" s="300">
        <f t="shared" ref="E215:E216" si="552">SUM(B215:D215)</f>
        <v>1552.5629999821863</v>
      </c>
      <c r="F215" s="300"/>
      <c r="G215" s="300">
        <f>SUM(G200,G205,G210)</f>
        <v>945.84000000248921</v>
      </c>
      <c r="H215" s="300">
        <f t="shared" ref="H215:I215" si="553">SUM(H200,H205,H210)</f>
        <v>44.335000000360871</v>
      </c>
      <c r="I215" s="300">
        <f t="shared" si="553"/>
        <v>698.11200001686666</v>
      </c>
      <c r="J215" s="300">
        <f t="shared" ref="J215:J216" si="554">SUM(G215:I215)</f>
        <v>1688.2870000197167</v>
      </c>
      <c r="K215" s="300"/>
      <c r="L215" s="300">
        <f>SUM(L200,L205,L210)</f>
        <v>934.13899999942464</v>
      </c>
      <c r="M215" s="300">
        <f t="shared" ref="M215:N215" si="555">SUM(M200,M205,M210)</f>
        <v>69.881999999879895</v>
      </c>
      <c r="N215" s="300">
        <f t="shared" si="555"/>
        <v>680.71399997605704</v>
      </c>
      <c r="O215" s="300">
        <f t="shared" ref="O215:O216" si="556">SUM(L215:N215)</f>
        <v>1684.7349999753615</v>
      </c>
      <c r="P215" s="300"/>
      <c r="Q215" s="300">
        <f>SUM(Q200,Q205,Q210)</f>
        <v>967.44000000147776</v>
      </c>
      <c r="R215" s="300">
        <f t="shared" ref="R215:S215" si="557">SUM(R200,R205,R210)</f>
        <v>74.969999999893602</v>
      </c>
      <c r="S215" s="300">
        <f t="shared" si="557"/>
        <v>721.27699992705982</v>
      </c>
      <c r="T215" s="300">
        <f t="shared" ref="T215:T216" si="558">SUM(Q215:S215)</f>
        <v>1763.6869999284313</v>
      </c>
      <c r="U215" s="300"/>
      <c r="V215" s="300">
        <f>SUM(V200,V205,V210)</f>
        <v>1007.4150000018481</v>
      </c>
      <c r="W215" s="300">
        <f t="shared" ref="W215:X215" si="559">SUM(W200,W205,W210)</f>
        <v>83.975999999739088</v>
      </c>
      <c r="X215" s="300">
        <f t="shared" si="559"/>
        <v>792.02399994485404</v>
      </c>
      <c r="Y215" s="300">
        <f t="shared" ref="Y215:Y216" si="560">SUM(V215:X215)</f>
        <v>1883.4149999464412</v>
      </c>
    </row>
    <row r="216" spans="1:25" ht="12.45" x14ac:dyDescent="0.3">
      <c r="A216" s="264" t="s">
        <v>354</v>
      </c>
      <c r="B216" s="301">
        <f>SUM(B214:B215)</f>
        <v>979.41800000113335</v>
      </c>
      <c r="C216" s="301">
        <f t="shared" ref="C216" si="561">SUM(C214:C215)</f>
        <v>133.97900000128601</v>
      </c>
      <c r="D216" s="301">
        <f t="shared" ref="D216" si="562">SUM(D214:D215)</f>
        <v>686.95699997992733</v>
      </c>
      <c r="E216" s="301">
        <f t="shared" si="552"/>
        <v>1800.3539999823467</v>
      </c>
      <c r="F216" s="301"/>
      <c r="G216" s="301">
        <f>SUM(G214:G215)</f>
        <v>1109.0610000002021</v>
      </c>
      <c r="H216" s="301">
        <f t="shared" ref="H216" si="563">SUM(H214:H215)</f>
        <v>146.55400000149447</v>
      </c>
      <c r="I216" s="301">
        <f t="shared" ref="I216" si="564">SUM(I214:I215)</f>
        <v>741.14200001778079</v>
      </c>
      <c r="J216" s="301">
        <f t="shared" si="554"/>
        <v>1996.7570000194773</v>
      </c>
      <c r="K216" s="301"/>
      <c r="L216" s="301">
        <f>SUM(L214:L215)</f>
        <v>1099.7859999975403</v>
      </c>
      <c r="M216" s="301">
        <f t="shared" ref="M216" si="565">SUM(M214:M215)</f>
        <v>180.88300000048724</v>
      </c>
      <c r="N216" s="301">
        <f t="shared" ref="N216" si="566">SUM(N214:N215)</f>
        <v>719.12599997565133</v>
      </c>
      <c r="O216" s="301">
        <f t="shared" si="556"/>
        <v>1999.7949999736788</v>
      </c>
      <c r="P216" s="301"/>
      <c r="Q216" s="301">
        <f>SUM(Q214:Q215)</f>
        <v>1142.5960000050254</v>
      </c>
      <c r="R216" s="301">
        <f t="shared" ref="R216" si="567">SUM(R214:R215)</f>
        <v>193.12400000114758</v>
      </c>
      <c r="S216" s="301">
        <f t="shared" ref="S216" si="568">SUM(S214:S215)</f>
        <v>762.2309999270941</v>
      </c>
      <c r="T216" s="301">
        <f t="shared" si="558"/>
        <v>2097.9509999332672</v>
      </c>
      <c r="U216" s="301"/>
      <c r="V216" s="301">
        <f>SUM(V214:V215)</f>
        <v>1199.14300000306</v>
      </c>
      <c r="W216" s="301">
        <f t="shared" ref="W216" si="569">SUM(W214:W215)</f>
        <v>214.60399999885632</v>
      </c>
      <c r="X216" s="301">
        <f t="shared" ref="X216" si="570">SUM(X214:X215)</f>
        <v>838.16999994490357</v>
      </c>
      <c r="Y216" s="301">
        <f t="shared" si="560"/>
        <v>2251.9169999468199</v>
      </c>
    </row>
    <row r="217" spans="1:25" ht="12.45" x14ac:dyDescent="0.3">
      <c r="C217" s="263"/>
    </row>
    <row r="218" spans="1:25" ht="12.45" x14ac:dyDescent="0.3">
      <c r="C218" s="263"/>
    </row>
    <row r="219" spans="1:25" ht="12.45" x14ac:dyDescent="0.3">
      <c r="C219" s="263"/>
    </row>
    <row r="220" spans="1:25" ht="14.15" x14ac:dyDescent="0.35">
      <c r="A220" s="265" t="str">
        <f>"Industry 9 : "&amp; name!B12</f>
        <v>Industry 9 : Wholesale and retail trade</v>
      </c>
      <c r="B220" s="372">
        <f>$B$5</f>
        <v>2015</v>
      </c>
      <c r="C220" s="372"/>
      <c r="D220" s="372"/>
      <c r="E220" s="372"/>
      <c r="F220" s="320"/>
      <c r="G220" s="372">
        <f>$G$5</f>
        <v>2019</v>
      </c>
      <c r="H220" s="372"/>
      <c r="I220" s="372"/>
      <c r="J220" s="372"/>
      <c r="K220" s="320"/>
      <c r="L220" s="372">
        <f>$L$5</f>
        <v>2020</v>
      </c>
      <c r="M220" s="372"/>
      <c r="N220" s="372"/>
      <c r="O220" s="372"/>
      <c r="P220" s="318"/>
      <c r="Q220" s="372">
        <f>$Q$5</f>
        <v>2025</v>
      </c>
      <c r="R220" s="372"/>
      <c r="S220" s="372"/>
      <c r="T220" s="372"/>
      <c r="U220" s="320"/>
      <c r="V220" s="372">
        <f>$V$5</f>
        <v>2035</v>
      </c>
      <c r="W220" s="372"/>
      <c r="X220" s="372"/>
      <c r="Y220" s="372"/>
    </row>
    <row r="221" spans="1:25" ht="12.45" x14ac:dyDescent="0.3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ht="12.45" x14ac:dyDescent="0.3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ht="12.45" x14ac:dyDescent="0.3">
      <c r="A223" s="261" t="str">
        <f>name!A34</f>
        <v>Motor vehicle trade</v>
      </c>
      <c r="C223" s="263"/>
    </row>
    <row r="224" spans="1:25" ht="12.45" x14ac:dyDescent="0.3">
      <c r="A224" s="260" t="s">
        <v>356</v>
      </c>
      <c r="B224" s="300">
        <v>58.859000000081117</v>
      </c>
      <c r="C224" s="300">
        <v>27.430000000888324</v>
      </c>
      <c r="D224" s="300">
        <v>4.2530000000607719</v>
      </c>
      <c r="E224" s="300">
        <f>SUM(B224:D224)</f>
        <v>90.542000001030203</v>
      </c>
      <c r="F224" s="300"/>
      <c r="G224" s="300">
        <v>62.642999999917343</v>
      </c>
      <c r="H224" s="300">
        <v>36.194000001074684</v>
      </c>
      <c r="I224" s="300">
        <v>7.9590000001064682</v>
      </c>
      <c r="J224" s="300">
        <f>SUM(G224:I224)</f>
        <v>106.79600000109849</v>
      </c>
      <c r="K224" s="300"/>
      <c r="L224" s="300">
        <v>62.006999999749034</v>
      </c>
      <c r="M224" s="300">
        <v>33.506000000796888</v>
      </c>
      <c r="N224" s="300">
        <v>6.9319999999262887</v>
      </c>
      <c r="O224" s="300">
        <f>SUM(L224:N224)</f>
        <v>102.44500000047222</v>
      </c>
      <c r="P224" s="300"/>
      <c r="Q224" s="300">
        <v>65.814000001093305</v>
      </c>
      <c r="R224" s="300">
        <v>32.442000001333142</v>
      </c>
      <c r="S224" s="300">
        <v>7.0179999999985991</v>
      </c>
      <c r="T224" s="300">
        <f>SUM(Q224:S224)</f>
        <v>105.27400000242504</v>
      </c>
      <c r="U224" s="300"/>
      <c r="V224" s="300">
        <v>72.497999999366229</v>
      </c>
      <c r="W224" s="300">
        <v>29.466999999580541</v>
      </c>
      <c r="X224" s="300">
        <v>7.0619999999877239</v>
      </c>
      <c r="Y224" s="300">
        <f>SUM(V224:X224)</f>
        <v>109.02699999893449</v>
      </c>
    </row>
    <row r="225" spans="1:25" ht="12.45" x14ac:dyDescent="0.3">
      <c r="A225" s="260" t="s">
        <v>355</v>
      </c>
      <c r="B225" s="300">
        <v>318.15400000126016</v>
      </c>
      <c r="C225" s="300">
        <v>32.85300000058588</v>
      </c>
      <c r="D225" s="300">
        <v>51.393000000278114</v>
      </c>
      <c r="E225" s="300">
        <f t="shared" ref="E225:E226" si="571">SUM(B225:D225)</f>
        <v>402.40000000212416</v>
      </c>
      <c r="F225" s="300"/>
      <c r="G225" s="300">
        <v>358.65300000107572</v>
      </c>
      <c r="H225" s="300">
        <v>30.318000000460554</v>
      </c>
      <c r="I225" s="300">
        <v>68.999000001064985</v>
      </c>
      <c r="J225" s="300">
        <f t="shared" ref="J225:J226" si="572">SUM(G225:I225)</f>
        <v>457.97000000260124</v>
      </c>
      <c r="K225" s="300"/>
      <c r="L225" s="300">
        <v>333.54400000047372</v>
      </c>
      <c r="M225" s="300">
        <v>38.738999999857178</v>
      </c>
      <c r="N225" s="300">
        <v>42.155999999895919</v>
      </c>
      <c r="O225" s="300">
        <f t="shared" ref="O225:O226" si="573">SUM(L225:N225)</f>
        <v>414.43900000022683</v>
      </c>
      <c r="P225" s="300"/>
      <c r="Q225" s="300">
        <v>344.1820000012666</v>
      </c>
      <c r="R225" s="300">
        <v>39.38999999999519</v>
      </c>
      <c r="S225" s="300">
        <v>43.584999999148685</v>
      </c>
      <c r="T225" s="300">
        <f t="shared" ref="T225:T226" si="574">SUM(Q225:S225)</f>
        <v>427.15700000041051</v>
      </c>
      <c r="U225" s="300"/>
      <c r="V225" s="300">
        <v>358.76900000187368</v>
      </c>
      <c r="W225" s="300">
        <v>40.029000000110152</v>
      </c>
      <c r="X225" s="300">
        <v>45.614999999691193</v>
      </c>
      <c r="Y225" s="300">
        <f t="shared" ref="Y225:Y226" si="575">SUM(V225:X225)</f>
        <v>444.41300000167502</v>
      </c>
    </row>
    <row r="226" spans="1:25" ht="12.45" x14ac:dyDescent="0.3">
      <c r="A226" s="260" t="s">
        <v>354</v>
      </c>
      <c r="B226" s="300">
        <f>SUM(B224:B225)</f>
        <v>377.01300000134125</v>
      </c>
      <c r="C226" s="300">
        <f t="shared" ref="C226" si="576">SUM(C224:C225)</f>
        <v>60.283000001474207</v>
      </c>
      <c r="D226" s="300">
        <f t="shared" ref="D226" si="577">SUM(D224:D225)</f>
        <v>55.646000000338887</v>
      </c>
      <c r="E226" s="300">
        <f t="shared" si="571"/>
        <v>492.94200000315436</v>
      </c>
      <c r="F226" s="300"/>
      <c r="G226" s="300">
        <f>SUM(G224:G225)</f>
        <v>421.29600000099305</v>
      </c>
      <c r="H226" s="300">
        <f t="shared" ref="H226" si="578">SUM(H224:H225)</f>
        <v>66.512000001535242</v>
      </c>
      <c r="I226" s="300">
        <f t="shared" ref="I226" si="579">SUM(I224:I225)</f>
        <v>76.958000001171456</v>
      </c>
      <c r="J226" s="300">
        <f t="shared" si="572"/>
        <v>564.76600000369967</v>
      </c>
      <c r="K226" s="300"/>
      <c r="L226" s="300">
        <f>SUM(L224:L225)</f>
        <v>395.55100000022276</v>
      </c>
      <c r="M226" s="300">
        <f t="shared" ref="M226" si="580">SUM(M224:M225)</f>
        <v>72.245000000654073</v>
      </c>
      <c r="N226" s="300">
        <f t="shared" ref="N226" si="581">SUM(N224:N225)</f>
        <v>49.087999999822209</v>
      </c>
      <c r="O226" s="300">
        <f t="shared" si="573"/>
        <v>516.88400000069896</v>
      </c>
      <c r="P226" s="300"/>
      <c r="Q226" s="300">
        <f>SUM(Q224:Q225)</f>
        <v>409.99600000235989</v>
      </c>
      <c r="R226" s="300">
        <f t="shared" ref="R226" si="582">SUM(R224:R225)</f>
        <v>71.832000001328339</v>
      </c>
      <c r="S226" s="300">
        <f t="shared" ref="S226" si="583">SUM(S224:S225)</f>
        <v>50.602999999147286</v>
      </c>
      <c r="T226" s="300">
        <f t="shared" si="574"/>
        <v>532.4310000028355</v>
      </c>
      <c r="U226" s="300"/>
      <c r="V226" s="300">
        <f>SUM(V224:V225)</f>
        <v>431.26700000123992</v>
      </c>
      <c r="W226" s="300">
        <f t="shared" ref="W226" si="584">SUM(W224:W225)</f>
        <v>69.495999999690696</v>
      </c>
      <c r="X226" s="300">
        <f t="shared" ref="X226" si="585">SUM(X224:X225)</f>
        <v>52.67699999967892</v>
      </c>
      <c r="Y226" s="300">
        <f t="shared" si="575"/>
        <v>553.44000000060953</v>
      </c>
    </row>
    <row r="227" spans="1:25" ht="12.45" x14ac:dyDescent="0.3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ht="12.45" x14ac:dyDescent="0.3">
      <c r="A228" s="261" t="str">
        <f>name!A35</f>
        <v>Wholesale trade</v>
      </c>
      <c r="C228" s="263"/>
    </row>
    <row r="229" spans="1:25" ht="12.45" x14ac:dyDescent="0.3">
      <c r="A229" s="260" t="s">
        <v>356</v>
      </c>
      <c r="B229" s="300">
        <v>246.52300000002978</v>
      </c>
      <c r="C229" s="300">
        <v>100.05900000271707</v>
      </c>
      <c r="D229" s="300">
        <v>19.276000000315147</v>
      </c>
      <c r="E229" s="300">
        <f>SUM(B229:D229)</f>
        <v>365.85800000306199</v>
      </c>
      <c r="F229" s="300"/>
      <c r="G229" s="300">
        <v>288.27399999803549</v>
      </c>
      <c r="H229" s="300">
        <v>89.634000002059921</v>
      </c>
      <c r="I229" s="300">
        <v>15.882000000226085</v>
      </c>
      <c r="J229" s="300">
        <f>SUM(G229:I229)</f>
        <v>393.79000000032147</v>
      </c>
      <c r="K229" s="300"/>
      <c r="L229" s="300">
        <v>285.52199999795982</v>
      </c>
      <c r="M229" s="300">
        <v>91.491000001654839</v>
      </c>
      <c r="N229" s="300">
        <v>13.585999999812032</v>
      </c>
      <c r="O229" s="300">
        <f>SUM(L229:N229)</f>
        <v>390.59899999942667</v>
      </c>
      <c r="P229" s="300"/>
      <c r="Q229" s="300">
        <v>303.46100000877044</v>
      </c>
      <c r="R229" s="300">
        <v>88.622000002610051</v>
      </c>
      <c r="S229" s="300">
        <v>13.699999999980921</v>
      </c>
      <c r="T229" s="300">
        <f>SUM(Q229:S229)</f>
        <v>405.78300001136142</v>
      </c>
      <c r="U229" s="300"/>
      <c r="V229" s="300">
        <v>334.4689999964977</v>
      </c>
      <c r="W229" s="300">
        <v>81.21899999899405</v>
      </c>
      <c r="X229" s="300">
        <v>13.680999999990663</v>
      </c>
      <c r="Y229" s="300">
        <f>SUM(V229:X229)</f>
        <v>429.3689999954824</v>
      </c>
    </row>
    <row r="230" spans="1:25" ht="12.45" x14ac:dyDescent="0.3">
      <c r="A230" s="260" t="s">
        <v>355</v>
      </c>
      <c r="B230" s="300">
        <v>612.11400000286699</v>
      </c>
      <c r="C230" s="300">
        <v>52.932000000824146</v>
      </c>
      <c r="D230" s="300">
        <v>48.486000001013629</v>
      </c>
      <c r="E230" s="300">
        <f t="shared" ref="E230:E231" si="586">SUM(B230:D230)</f>
        <v>713.53200000470474</v>
      </c>
      <c r="F230" s="300"/>
      <c r="G230" s="300">
        <v>636.39500000202588</v>
      </c>
      <c r="H230" s="300">
        <v>49.669000000564331</v>
      </c>
      <c r="I230" s="300">
        <v>36.702000000290248</v>
      </c>
      <c r="J230" s="300">
        <f t="shared" ref="J230:J231" si="587">SUM(G230:I230)</f>
        <v>722.76600000288045</v>
      </c>
      <c r="K230" s="300"/>
      <c r="L230" s="300">
        <v>621.32600000020727</v>
      </c>
      <c r="M230" s="300">
        <v>48.630999999936492</v>
      </c>
      <c r="N230" s="300">
        <v>45.698000000542557</v>
      </c>
      <c r="O230" s="300">
        <f t="shared" ref="O230:O231" si="588">SUM(L230:N230)</f>
        <v>715.65500000068641</v>
      </c>
      <c r="P230" s="300"/>
      <c r="Q230" s="300">
        <v>618.67500000148073</v>
      </c>
      <c r="R230" s="300">
        <v>48.71399999998097</v>
      </c>
      <c r="S230" s="300">
        <v>46.492000001045888</v>
      </c>
      <c r="T230" s="300">
        <f t="shared" ref="T230:T231" si="589">SUM(Q230:S230)</f>
        <v>713.88100000250756</v>
      </c>
      <c r="U230" s="300"/>
      <c r="V230" s="300">
        <v>601.9030000018048</v>
      </c>
      <c r="W230" s="300">
        <v>48.001000000046631</v>
      </c>
      <c r="X230" s="300">
        <v>47.225000000818525</v>
      </c>
      <c r="Y230" s="300">
        <f t="shared" ref="Y230:Y231" si="590">SUM(V230:X230)</f>
        <v>697.12900000266995</v>
      </c>
    </row>
    <row r="231" spans="1:25" ht="12.45" x14ac:dyDescent="0.3">
      <c r="A231" s="260" t="s">
        <v>354</v>
      </c>
      <c r="B231" s="300">
        <f>SUM(B229:B230)</f>
        <v>858.6370000028968</v>
      </c>
      <c r="C231" s="300">
        <f t="shared" ref="C231" si="591">SUM(C229:C230)</f>
        <v>152.99100000354122</v>
      </c>
      <c r="D231" s="300">
        <f t="shared" ref="D231" si="592">SUM(D229:D230)</f>
        <v>67.762000001328772</v>
      </c>
      <c r="E231" s="300">
        <f t="shared" si="586"/>
        <v>1079.3900000077667</v>
      </c>
      <c r="F231" s="300"/>
      <c r="G231" s="300">
        <f>SUM(G229:G230)</f>
        <v>924.66900000006137</v>
      </c>
      <c r="H231" s="300">
        <f t="shared" ref="H231" si="593">SUM(H229:H230)</f>
        <v>139.30300000262426</v>
      </c>
      <c r="I231" s="300">
        <f t="shared" ref="I231" si="594">SUM(I229:I230)</f>
        <v>52.584000000516333</v>
      </c>
      <c r="J231" s="300">
        <f t="shared" si="587"/>
        <v>1116.5560000032021</v>
      </c>
      <c r="K231" s="300"/>
      <c r="L231" s="300">
        <f>SUM(L229:L230)</f>
        <v>906.8479999981671</v>
      </c>
      <c r="M231" s="300">
        <f t="shared" ref="M231" si="595">SUM(M229:M230)</f>
        <v>140.12200000159135</v>
      </c>
      <c r="N231" s="300">
        <f t="shared" ref="N231" si="596">SUM(N229:N230)</f>
        <v>59.284000000354588</v>
      </c>
      <c r="O231" s="300">
        <f t="shared" si="588"/>
        <v>1106.2540000001129</v>
      </c>
      <c r="P231" s="300"/>
      <c r="Q231" s="300">
        <f>SUM(Q229:Q230)</f>
        <v>922.13600001025111</v>
      </c>
      <c r="R231" s="300">
        <f t="shared" ref="R231" si="597">SUM(R229:R230)</f>
        <v>137.33600000259102</v>
      </c>
      <c r="S231" s="300">
        <f t="shared" ref="S231" si="598">SUM(S229:S230)</f>
        <v>60.192000001026813</v>
      </c>
      <c r="T231" s="300">
        <f t="shared" si="589"/>
        <v>1119.6640000138689</v>
      </c>
      <c r="U231" s="300"/>
      <c r="V231" s="300">
        <f>SUM(V229:V230)</f>
        <v>936.3719999983025</v>
      </c>
      <c r="W231" s="300">
        <f t="shared" ref="W231" si="599">SUM(W229:W230)</f>
        <v>129.21999999904068</v>
      </c>
      <c r="X231" s="300">
        <f t="shared" ref="X231" si="600">SUM(X229:X230)</f>
        <v>60.906000000809186</v>
      </c>
      <c r="Y231" s="300">
        <f t="shared" si="590"/>
        <v>1126.4979999981524</v>
      </c>
    </row>
    <row r="232" spans="1:25" ht="12.45" x14ac:dyDescent="0.3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ht="12.45" x14ac:dyDescent="0.3">
      <c r="A233" s="261" t="str">
        <f>name!A36</f>
        <v>Retail trade</v>
      </c>
      <c r="C233" s="263"/>
    </row>
    <row r="234" spans="1:25" ht="12.45" x14ac:dyDescent="0.3">
      <c r="A234" s="260" t="s">
        <v>356</v>
      </c>
      <c r="B234" s="300">
        <v>508.73500000006618</v>
      </c>
      <c r="C234" s="300">
        <v>963.76300004967641</v>
      </c>
      <c r="D234" s="300">
        <v>86.598000001520816</v>
      </c>
      <c r="E234" s="300">
        <f>SUM(B234:D234)</f>
        <v>1559.0960000512634</v>
      </c>
      <c r="F234" s="300"/>
      <c r="G234" s="300">
        <v>537.8009999976349</v>
      </c>
      <c r="H234" s="300">
        <v>912.76300003880317</v>
      </c>
      <c r="I234" s="300">
        <v>79.258000001327616</v>
      </c>
      <c r="J234" s="300">
        <f>SUM(G234:I234)</f>
        <v>1529.8220000377657</v>
      </c>
      <c r="K234" s="300"/>
      <c r="L234" s="300">
        <v>522.40699999696596</v>
      </c>
      <c r="M234" s="300">
        <v>928.16400004060279</v>
      </c>
      <c r="N234" s="300">
        <v>88.217999998569212</v>
      </c>
      <c r="O234" s="300">
        <f>SUM(L234:N234)</f>
        <v>1538.7890000361381</v>
      </c>
      <c r="P234" s="300"/>
      <c r="Q234" s="300">
        <v>534.65700001440439</v>
      </c>
      <c r="R234" s="300">
        <v>893.46300006343404</v>
      </c>
      <c r="S234" s="300">
        <v>91.584999999913421</v>
      </c>
      <c r="T234" s="300">
        <f>SUM(Q234:S234)</f>
        <v>1519.7050000777519</v>
      </c>
      <c r="U234" s="300"/>
      <c r="V234" s="300">
        <v>564.64599999460086</v>
      </c>
      <c r="W234" s="300">
        <v>833.11199998921825</v>
      </c>
      <c r="X234" s="300">
        <v>99.24600000139074</v>
      </c>
      <c r="Y234" s="300">
        <f>SUM(V234:X234)</f>
        <v>1497.0039999852097</v>
      </c>
    </row>
    <row r="235" spans="1:25" ht="12.45" x14ac:dyDescent="0.3">
      <c r="A235" s="260" t="s">
        <v>355</v>
      </c>
      <c r="B235" s="300">
        <v>583.91700000378921</v>
      </c>
      <c r="C235" s="300">
        <v>414.40400000853163</v>
      </c>
      <c r="D235" s="300">
        <v>112.26200000239636</v>
      </c>
      <c r="E235" s="300">
        <f t="shared" ref="E235:E236" si="601">SUM(B235:D235)</f>
        <v>1110.5830000147173</v>
      </c>
      <c r="F235" s="300"/>
      <c r="G235" s="300">
        <v>602.30400000299551</v>
      </c>
      <c r="H235" s="300">
        <v>392.08700000696024</v>
      </c>
      <c r="I235" s="300">
        <v>85.671000001210558</v>
      </c>
      <c r="J235" s="300">
        <f t="shared" ref="J235:J236" si="602">SUM(G235:I235)</f>
        <v>1080.0620000111662</v>
      </c>
      <c r="K235" s="300"/>
      <c r="L235" s="300">
        <v>584.98799999963035</v>
      </c>
      <c r="M235" s="300">
        <v>433.44299999823824</v>
      </c>
      <c r="N235" s="300">
        <v>79.269000000918169</v>
      </c>
      <c r="O235" s="300">
        <f t="shared" ref="O235:O236" si="603">SUM(L235:N235)</f>
        <v>1097.6999999987868</v>
      </c>
      <c r="P235" s="300"/>
      <c r="Q235" s="300">
        <v>599.24800000070059</v>
      </c>
      <c r="R235" s="300">
        <v>433.14600000058925</v>
      </c>
      <c r="S235" s="300">
        <v>79.436000001389985</v>
      </c>
      <c r="T235" s="300">
        <f t="shared" ref="T235:T236" si="604">SUM(Q235:S235)</f>
        <v>1111.83000000268</v>
      </c>
      <c r="U235" s="300"/>
      <c r="V235" s="300">
        <v>633.87300000071468</v>
      </c>
      <c r="W235" s="300">
        <v>437.04700000159312</v>
      </c>
      <c r="X235" s="300">
        <v>80.606000001378874</v>
      </c>
      <c r="Y235" s="300">
        <f t="shared" ref="Y235:Y236" si="605">SUM(V235:X235)</f>
        <v>1151.5260000036867</v>
      </c>
    </row>
    <row r="236" spans="1:25" ht="12.45" x14ac:dyDescent="0.3">
      <c r="A236" s="260" t="s">
        <v>354</v>
      </c>
      <c r="B236" s="300">
        <f>SUM(B234:B235)</f>
        <v>1092.6520000038554</v>
      </c>
      <c r="C236" s="300">
        <f t="shared" ref="C236" si="606">SUM(C234:C235)</f>
        <v>1378.167000058208</v>
      </c>
      <c r="D236" s="300">
        <f t="shared" ref="D236" si="607">SUM(D234:D235)</f>
        <v>198.86000000391718</v>
      </c>
      <c r="E236" s="300">
        <f t="shared" si="601"/>
        <v>2669.6790000659807</v>
      </c>
      <c r="F236" s="300"/>
      <c r="G236" s="300">
        <f>SUM(G234:G235)</f>
        <v>1140.1050000006303</v>
      </c>
      <c r="H236" s="300">
        <f t="shared" ref="H236" si="608">SUM(H234:H235)</f>
        <v>1304.8500000457634</v>
      </c>
      <c r="I236" s="300">
        <f t="shared" ref="I236" si="609">SUM(I234:I235)</f>
        <v>164.92900000253817</v>
      </c>
      <c r="J236" s="300">
        <f t="shared" si="602"/>
        <v>2609.8840000489317</v>
      </c>
      <c r="K236" s="300"/>
      <c r="L236" s="300">
        <f>SUM(L234:L235)</f>
        <v>1107.3949999965962</v>
      </c>
      <c r="M236" s="300">
        <f t="shared" ref="M236" si="610">SUM(M234:M235)</f>
        <v>1361.6070000388411</v>
      </c>
      <c r="N236" s="300">
        <f t="shared" ref="N236" si="611">SUM(N234:N235)</f>
        <v>167.48699999948738</v>
      </c>
      <c r="O236" s="300">
        <f t="shared" si="603"/>
        <v>2636.4890000349246</v>
      </c>
      <c r="P236" s="300"/>
      <c r="Q236" s="300">
        <f>SUM(Q234:Q235)</f>
        <v>1133.9050000151051</v>
      </c>
      <c r="R236" s="300">
        <f t="shared" ref="R236" si="612">SUM(R234:R235)</f>
        <v>1326.6090000640233</v>
      </c>
      <c r="S236" s="300">
        <f t="shared" ref="S236" si="613">SUM(S234:S235)</f>
        <v>171.02100000130341</v>
      </c>
      <c r="T236" s="300">
        <f t="shared" si="604"/>
        <v>2631.5350000804319</v>
      </c>
      <c r="U236" s="300"/>
      <c r="V236" s="300">
        <f>SUM(V234:V235)</f>
        <v>1198.5189999953154</v>
      </c>
      <c r="W236" s="300">
        <f t="shared" ref="W236" si="614">SUM(W234:W235)</f>
        <v>1270.1589999908115</v>
      </c>
      <c r="X236" s="300">
        <f t="shared" ref="X236" si="615">SUM(X234:X235)</f>
        <v>179.85200000276961</v>
      </c>
      <c r="Y236" s="300">
        <f t="shared" si="605"/>
        <v>2648.5299999888966</v>
      </c>
    </row>
    <row r="237" spans="1:25" ht="12.45" x14ac:dyDescent="0.3">
      <c r="C237" s="263"/>
    </row>
    <row r="238" spans="1:25" ht="12.45" x14ac:dyDescent="0.3">
      <c r="A238" s="261" t="s">
        <v>367</v>
      </c>
      <c r="C238" s="263"/>
    </row>
    <row r="239" spans="1:25" ht="12.45" x14ac:dyDescent="0.3">
      <c r="A239" s="260" t="s">
        <v>356</v>
      </c>
      <c r="B239" s="300">
        <f>SUM(B224,B229,B234)</f>
        <v>814.11700000017709</v>
      </c>
      <c r="C239" s="300">
        <f t="shared" ref="C239:D239" si="616">SUM(C224,C229,C234)</f>
        <v>1091.2520000532818</v>
      </c>
      <c r="D239" s="300">
        <f t="shared" si="616"/>
        <v>110.12700000189673</v>
      </c>
      <c r="E239" s="300">
        <f>SUM(B239:D239)</f>
        <v>2015.4960000553556</v>
      </c>
      <c r="F239" s="300"/>
      <c r="G239" s="300">
        <f>SUM(G224,G229,G234)</f>
        <v>888.71799999558766</v>
      </c>
      <c r="H239" s="300">
        <f t="shared" ref="H239:I239" si="617">SUM(H224,H229,H234)</f>
        <v>1038.5910000419378</v>
      </c>
      <c r="I239" s="300">
        <f t="shared" si="617"/>
        <v>103.09900000166017</v>
      </c>
      <c r="J239" s="300">
        <f>SUM(G239:I239)</f>
        <v>2030.4080000391857</v>
      </c>
      <c r="K239" s="300"/>
      <c r="L239" s="300">
        <f>SUM(L224,L229,L234)</f>
        <v>869.93599999467483</v>
      </c>
      <c r="M239" s="300">
        <f t="shared" ref="M239:N239" si="618">SUM(M224,M229,M234)</f>
        <v>1053.1610000430546</v>
      </c>
      <c r="N239" s="300">
        <f t="shared" si="618"/>
        <v>108.73599999830753</v>
      </c>
      <c r="O239" s="300">
        <f>SUM(L239:N239)</f>
        <v>2031.833000036037</v>
      </c>
      <c r="P239" s="300"/>
      <c r="Q239" s="300">
        <f>SUM(Q224,Q229,Q234)</f>
        <v>903.93200002426806</v>
      </c>
      <c r="R239" s="300">
        <f t="shared" ref="R239:S239" si="619">SUM(R224,R229,R234)</f>
        <v>1014.5270000673772</v>
      </c>
      <c r="S239" s="300">
        <f t="shared" si="619"/>
        <v>112.30299999989293</v>
      </c>
      <c r="T239" s="300">
        <f>SUM(Q239:S239)</f>
        <v>2030.7620000915383</v>
      </c>
      <c r="U239" s="300"/>
      <c r="V239" s="300">
        <f>SUM(V224,V229,V234)</f>
        <v>971.6129999904648</v>
      </c>
      <c r="W239" s="300">
        <f t="shared" ref="W239:X239" si="620">SUM(W224,W229,W234)</f>
        <v>943.79799998779288</v>
      </c>
      <c r="X239" s="300">
        <f t="shared" si="620"/>
        <v>119.98900000136913</v>
      </c>
      <c r="Y239" s="300">
        <f>SUM(V239:X239)</f>
        <v>2035.3999999796267</v>
      </c>
    </row>
    <row r="240" spans="1:25" ht="12.45" x14ac:dyDescent="0.3">
      <c r="A240" s="260" t="s">
        <v>355</v>
      </c>
      <c r="B240" s="300">
        <f>SUM(B225,B230,B235)</f>
        <v>1514.1850000079162</v>
      </c>
      <c r="C240" s="300">
        <f t="shared" ref="C240:D240" si="621">SUM(C225,C230,C235)</f>
        <v>500.18900000994165</v>
      </c>
      <c r="D240" s="300">
        <f t="shared" si="621"/>
        <v>212.14100000368811</v>
      </c>
      <c r="E240" s="300">
        <f t="shared" ref="E240:E241" si="622">SUM(B240:D240)</f>
        <v>2226.5150000215458</v>
      </c>
      <c r="F240" s="300"/>
      <c r="G240" s="300">
        <f>SUM(G225,G230,G235)</f>
        <v>1597.3520000060971</v>
      </c>
      <c r="H240" s="300">
        <f t="shared" ref="H240:I240" si="623">SUM(H225,H230,H235)</f>
        <v>472.07400000798509</v>
      </c>
      <c r="I240" s="300">
        <f t="shared" si="623"/>
        <v>191.37200000256578</v>
      </c>
      <c r="J240" s="300">
        <f t="shared" ref="J240:J241" si="624">SUM(G240:I240)</f>
        <v>2260.7980000166481</v>
      </c>
      <c r="K240" s="300"/>
      <c r="L240" s="300">
        <f>SUM(L225,L230,L235)</f>
        <v>1539.8580000003112</v>
      </c>
      <c r="M240" s="300">
        <f t="shared" ref="M240:N240" si="625">SUM(M225,M230,M235)</f>
        <v>520.81299999803196</v>
      </c>
      <c r="N240" s="300">
        <f t="shared" si="625"/>
        <v>167.12300000135664</v>
      </c>
      <c r="O240" s="300">
        <f t="shared" ref="O240:O241" si="626">SUM(L240:N240)</f>
        <v>2227.7939999996997</v>
      </c>
      <c r="P240" s="300"/>
      <c r="Q240" s="300">
        <f>SUM(Q225,Q230,Q235)</f>
        <v>1562.1050000034479</v>
      </c>
      <c r="R240" s="300">
        <f t="shared" ref="R240:S240" si="627">SUM(R225,R230,R235)</f>
        <v>521.25000000056548</v>
      </c>
      <c r="S240" s="300">
        <f t="shared" si="627"/>
        <v>169.51300000158454</v>
      </c>
      <c r="T240" s="300">
        <f t="shared" ref="T240:T241" si="628">SUM(Q240:S240)</f>
        <v>2252.8680000055979</v>
      </c>
      <c r="U240" s="300"/>
      <c r="V240" s="300">
        <f>SUM(V225,V230,V235)</f>
        <v>1594.5450000043932</v>
      </c>
      <c r="W240" s="300">
        <f t="shared" ref="W240:X240" si="629">SUM(W225,W230,W235)</f>
        <v>525.07700000174987</v>
      </c>
      <c r="X240" s="300">
        <f t="shared" si="629"/>
        <v>173.44600000188859</v>
      </c>
      <c r="Y240" s="300">
        <f t="shared" ref="Y240:Y241" si="630">SUM(V240:X240)</f>
        <v>2293.0680000080315</v>
      </c>
    </row>
    <row r="241" spans="1:25" ht="12.45" x14ac:dyDescent="0.3">
      <c r="A241" s="264" t="s">
        <v>354</v>
      </c>
      <c r="B241" s="301">
        <f>SUM(B239:B240)</f>
        <v>2328.3020000080933</v>
      </c>
      <c r="C241" s="301">
        <f t="shared" ref="C241" si="631">SUM(C239:C240)</f>
        <v>1591.4410000632233</v>
      </c>
      <c r="D241" s="301">
        <f t="shared" ref="D241" si="632">SUM(D239:D240)</f>
        <v>322.26800000558484</v>
      </c>
      <c r="E241" s="301">
        <f t="shared" si="622"/>
        <v>4242.0110000769018</v>
      </c>
      <c r="F241" s="301"/>
      <c r="G241" s="301">
        <f>SUM(G239:G240)</f>
        <v>2486.070000001685</v>
      </c>
      <c r="H241" s="301">
        <f t="shared" ref="H241" si="633">SUM(H239:H240)</f>
        <v>1510.665000049923</v>
      </c>
      <c r="I241" s="301">
        <f t="shared" ref="I241" si="634">SUM(I239:I240)</f>
        <v>294.47100000422597</v>
      </c>
      <c r="J241" s="301">
        <f t="shared" si="624"/>
        <v>4291.206000055834</v>
      </c>
      <c r="K241" s="301"/>
      <c r="L241" s="301">
        <f>SUM(L239:L240)</f>
        <v>2409.7939999949858</v>
      </c>
      <c r="M241" s="301">
        <f t="shared" ref="M241" si="635">SUM(M239:M240)</f>
        <v>1573.9740000410866</v>
      </c>
      <c r="N241" s="301">
        <f t="shared" ref="N241" si="636">SUM(N239:N240)</f>
        <v>275.85899999966421</v>
      </c>
      <c r="O241" s="301">
        <f t="shared" si="626"/>
        <v>4259.6270000357363</v>
      </c>
      <c r="P241" s="301"/>
      <c r="Q241" s="301">
        <f>SUM(Q239:Q240)</f>
        <v>2466.0370000277162</v>
      </c>
      <c r="R241" s="301">
        <f t="shared" ref="R241" si="637">SUM(R239:R240)</f>
        <v>1535.7770000679427</v>
      </c>
      <c r="S241" s="301">
        <f t="shared" ref="S241" si="638">SUM(S239:S240)</f>
        <v>281.81600000147751</v>
      </c>
      <c r="T241" s="301">
        <f t="shared" si="628"/>
        <v>4283.6300000971369</v>
      </c>
      <c r="U241" s="301"/>
      <c r="V241" s="301">
        <f>SUM(V239:V240)</f>
        <v>2566.1579999948581</v>
      </c>
      <c r="W241" s="301">
        <f t="shared" ref="W241" si="639">SUM(W239:W240)</f>
        <v>1468.8749999895426</v>
      </c>
      <c r="X241" s="301">
        <f t="shared" ref="X241" si="640">SUM(X239:X240)</f>
        <v>293.43500000325776</v>
      </c>
      <c r="Y241" s="301">
        <f t="shared" si="630"/>
        <v>4328.4679999876589</v>
      </c>
    </row>
    <row r="242" spans="1:25" ht="12.45" x14ac:dyDescent="0.3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ht="12.45" x14ac:dyDescent="0.3">
      <c r="C243" s="263"/>
    </row>
    <row r="244" spans="1:25" x14ac:dyDescent="0.35">
      <c r="A244" s="261"/>
    </row>
    <row r="245" spans="1:25" ht="14.15" x14ac:dyDescent="0.35">
      <c r="A245" s="265" t="str">
        <f>"Industry 10 : "&amp; name!B13</f>
        <v>Industry 10 : Transport and storage</v>
      </c>
      <c r="B245" s="372">
        <f>$B$5</f>
        <v>2015</v>
      </c>
      <c r="C245" s="372"/>
      <c r="D245" s="372"/>
      <c r="E245" s="372"/>
      <c r="F245" s="320"/>
      <c r="G245" s="372">
        <f>$G$5</f>
        <v>2019</v>
      </c>
      <c r="H245" s="372"/>
      <c r="I245" s="372"/>
      <c r="J245" s="372"/>
      <c r="K245" s="320"/>
      <c r="L245" s="372">
        <f>$L$5</f>
        <v>2020</v>
      </c>
      <c r="M245" s="372"/>
      <c r="N245" s="372"/>
      <c r="O245" s="372"/>
      <c r="P245" s="318"/>
      <c r="Q245" s="372">
        <f>$Q$5</f>
        <v>2025</v>
      </c>
      <c r="R245" s="372"/>
      <c r="S245" s="372"/>
      <c r="T245" s="372"/>
      <c r="U245" s="320"/>
      <c r="V245" s="372">
        <f>$V$5</f>
        <v>2035</v>
      </c>
      <c r="W245" s="372"/>
      <c r="X245" s="372"/>
      <c r="Y245" s="372"/>
    </row>
    <row r="246" spans="1:25" ht="12.45" x14ac:dyDescent="0.3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ht="12.45" x14ac:dyDescent="0.3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ht="12.45" x14ac:dyDescent="0.3">
      <c r="A248" s="261" t="str">
        <f>name!A37</f>
        <v>Land transport, etc</v>
      </c>
      <c r="C248" s="263"/>
    </row>
    <row r="249" spans="1:25" ht="12.45" x14ac:dyDescent="0.3">
      <c r="A249" s="260" t="s">
        <v>356</v>
      </c>
      <c r="B249" s="300">
        <v>50.963999999742917</v>
      </c>
      <c r="C249" s="300">
        <v>25.254000000512345</v>
      </c>
      <c r="D249" s="300">
        <v>5.5080000001176765</v>
      </c>
      <c r="E249" s="300">
        <f>SUM(B249:D249)</f>
        <v>81.726000000372935</v>
      </c>
      <c r="F249" s="300"/>
      <c r="G249" s="300">
        <v>60.896999999464356</v>
      </c>
      <c r="H249" s="300">
        <v>36.806000000549943</v>
      </c>
      <c r="I249" s="300">
        <v>8.6110000001835854</v>
      </c>
      <c r="J249" s="300">
        <f>SUM(G249:I249)</f>
        <v>106.31400000019788</v>
      </c>
      <c r="K249" s="300"/>
      <c r="L249" s="300">
        <v>64.547999999495829</v>
      </c>
      <c r="M249" s="300">
        <v>41.213000000320811</v>
      </c>
      <c r="N249" s="300">
        <v>14.879999999847902</v>
      </c>
      <c r="O249" s="300">
        <f>SUM(L249:N249)</f>
        <v>120.64099999966454</v>
      </c>
      <c r="P249" s="300"/>
      <c r="Q249" s="300">
        <v>72.091000001589549</v>
      </c>
      <c r="R249" s="300">
        <v>46.304000000439629</v>
      </c>
      <c r="S249" s="300">
        <v>16.182000000020338</v>
      </c>
      <c r="T249" s="300">
        <f>SUM(Q249:S249)</f>
        <v>134.57700000204952</v>
      </c>
      <c r="U249" s="300"/>
      <c r="V249" s="300">
        <v>76.477999999807579</v>
      </c>
      <c r="W249" s="300">
        <v>49.607999999297746</v>
      </c>
      <c r="X249" s="300">
        <v>16.436999999967085</v>
      </c>
      <c r="Y249" s="300">
        <f>SUM(V249:X249)</f>
        <v>142.5229999990724</v>
      </c>
    </row>
    <row r="250" spans="1:25" ht="12.45" x14ac:dyDescent="0.3">
      <c r="A250" s="260" t="s">
        <v>355</v>
      </c>
      <c r="B250" s="300">
        <v>358.30200000262528</v>
      </c>
      <c r="C250" s="300">
        <v>25.956000000551441</v>
      </c>
      <c r="D250" s="300">
        <v>178.05900000269705</v>
      </c>
      <c r="E250" s="300">
        <f t="shared" ref="E250:E251" si="641">SUM(B250:D250)</f>
        <v>562.31700000587375</v>
      </c>
      <c r="F250" s="300"/>
      <c r="G250" s="300">
        <v>381.75700000181132</v>
      </c>
      <c r="H250" s="300">
        <v>37.147000000651488</v>
      </c>
      <c r="I250" s="300">
        <v>224.89799998550805</v>
      </c>
      <c r="J250" s="300">
        <f t="shared" ref="J250:J251" si="642">SUM(G250:I250)</f>
        <v>643.80199998797082</v>
      </c>
      <c r="K250" s="300"/>
      <c r="L250" s="300">
        <v>380.51399999974609</v>
      </c>
      <c r="M250" s="300">
        <v>47.759999999743705</v>
      </c>
      <c r="N250" s="300">
        <v>160.38900000344267</v>
      </c>
      <c r="O250" s="300">
        <f t="shared" ref="O250:O251" si="643">SUM(L250:N250)</f>
        <v>588.66300000293245</v>
      </c>
      <c r="P250" s="300"/>
      <c r="Q250" s="300">
        <v>404.56800000044547</v>
      </c>
      <c r="R250" s="300">
        <v>52.83699999969582</v>
      </c>
      <c r="S250" s="300">
        <v>180.05900001327763</v>
      </c>
      <c r="T250" s="300">
        <f t="shared" ref="T250:T251" si="644">SUM(Q250:S250)</f>
        <v>637.46400001341885</v>
      </c>
      <c r="U250" s="300"/>
      <c r="V250" s="300">
        <v>388.97900000020587</v>
      </c>
      <c r="W250" s="300">
        <v>54.852999999845132</v>
      </c>
      <c r="X250" s="300">
        <v>192.92600001073831</v>
      </c>
      <c r="Y250" s="300">
        <f t="shared" ref="Y250:Y251" si="645">SUM(V250:X250)</f>
        <v>636.75800001078926</v>
      </c>
    </row>
    <row r="251" spans="1:25" ht="12.45" x14ac:dyDescent="0.3">
      <c r="A251" s="260" t="s">
        <v>354</v>
      </c>
      <c r="B251" s="300">
        <f>SUM(B249:B250)</f>
        <v>409.26600000236817</v>
      </c>
      <c r="C251" s="300">
        <f t="shared" ref="C251" si="646">SUM(C249:C250)</f>
        <v>51.21000000106379</v>
      </c>
      <c r="D251" s="300">
        <f t="shared" ref="D251" si="647">SUM(D249:D250)</f>
        <v>183.56700000281472</v>
      </c>
      <c r="E251" s="300">
        <f t="shared" si="641"/>
        <v>644.04300000624676</v>
      </c>
      <c r="F251" s="300"/>
      <c r="G251" s="300">
        <f>SUM(G249:G250)</f>
        <v>442.65400000127568</v>
      </c>
      <c r="H251" s="300">
        <f t="shared" ref="H251" si="648">SUM(H249:H250)</f>
        <v>73.953000001201431</v>
      </c>
      <c r="I251" s="300">
        <f t="shared" ref="I251" si="649">SUM(I249:I250)</f>
        <v>233.50899998569164</v>
      </c>
      <c r="J251" s="300">
        <f t="shared" si="642"/>
        <v>750.11599998816871</v>
      </c>
      <c r="K251" s="300"/>
      <c r="L251" s="300">
        <f>SUM(L249:L250)</f>
        <v>445.06199999924195</v>
      </c>
      <c r="M251" s="300">
        <f t="shared" ref="M251" si="650">SUM(M249:M250)</f>
        <v>88.973000000064516</v>
      </c>
      <c r="N251" s="300">
        <f t="shared" ref="N251" si="651">SUM(N249:N250)</f>
        <v>175.26900000329059</v>
      </c>
      <c r="O251" s="300">
        <f t="shared" si="643"/>
        <v>709.30400000259704</v>
      </c>
      <c r="P251" s="300"/>
      <c r="Q251" s="300">
        <f>SUM(Q249:Q250)</f>
        <v>476.65900000203499</v>
      </c>
      <c r="R251" s="300">
        <f t="shared" ref="R251" si="652">SUM(R249:R250)</f>
        <v>99.141000000135449</v>
      </c>
      <c r="S251" s="300">
        <f t="shared" ref="S251" si="653">SUM(S249:S250)</f>
        <v>196.24100001329796</v>
      </c>
      <c r="T251" s="300">
        <f t="shared" si="644"/>
        <v>772.0410000154684</v>
      </c>
      <c r="U251" s="300"/>
      <c r="V251" s="300">
        <f>SUM(V249:V250)</f>
        <v>465.45700000001347</v>
      </c>
      <c r="W251" s="300">
        <f t="shared" ref="W251" si="654">SUM(W249:W250)</f>
        <v>104.46099999914287</v>
      </c>
      <c r="X251" s="300">
        <f t="shared" ref="X251" si="655">SUM(X249:X250)</f>
        <v>209.36300001070538</v>
      </c>
      <c r="Y251" s="300">
        <f t="shared" si="645"/>
        <v>779.28100000986171</v>
      </c>
    </row>
    <row r="252" spans="1:25" ht="12.45" x14ac:dyDescent="0.3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ht="12.45" x14ac:dyDescent="0.3">
      <c r="A253" s="261" t="str">
        <f>name!A38</f>
        <v>Water transport</v>
      </c>
      <c r="C253" s="263"/>
    </row>
    <row r="254" spans="1:25" ht="12.45" x14ac:dyDescent="0.3">
      <c r="A254" s="260" t="s">
        <v>356</v>
      </c>
      <c r="B254" s="300">
        <v>4.3279999999861731</v>
      </c>
      <c r="C254" s="300">
        <v>1.6090000000226823</v>
      </c>
      <c r="D254" s="300">
        <v>0.36900000000499805</v>
      </c>
      <c r="E254" s="300">
        <f>SUM(B254:D254)</f>
        <v>6.3060000000138539</v>
      </c>
      <c r="F254" s="300"/>
      <c r="G254" s="300">
        <v>4.0669999999726878</v>
      </c>
      <c r="H254" s="300">
        <v>1.5300000000461855</v>
      </c>
      <c r="I254" s="300">
        <v>0.37200000000954625</v>
      </c>
      <c r="J254" s="300">
        <f>SUM(G254:I254)</f>
        <v>5.9690000000284194</v>
      </c>
      <c r="K254" s="300"/>
      <c r="L254" s="300">
        <v>3.7909999999753135</v>
      </c>
      <c r="M254" s="300">
        <v>1.7130000000260417</v>
      </c>
      <c r="N254" s="300">
        <v>0.28299999999990844</v>
      </c>
      <c r="O254" s="300">
        <f>SUM(L254:N254)</f>
        <v>5.7870000000012638</v>
      </c>
      <c r="P254" s="300"/>
      <c r="Q254" s="300">
        <v>3.1740000000656594</v>
      </c>
      <c r="R254" s="300">
        <v>1.4300000000373974</v>
      </c>
      <c r="S254" s="300">
        <v>0.24000000000196753</v>
      </c>
      <c r="T254" s="300">
        <f>SUM(Q254:S254)</f>
        <v>4.8440000001050239</v>
      </c>
      <c r="U254" s="300"/>
      <c r="V254" s="300">
        <v>2.9739999999930733</v>
      </c>
      <c r="W254" s="300">
        <v>1.3369999999907503</v>
      </c>
      <c r="X254" s="300">
        <v>0.23300000000132159</v>
      </c>
      <c r="Y254" s="300">
        <f>SUM(V254:X254)</f>
        <v>4.5439999999851448</v>
      </c>
    </row>
    <row r="255" spans="1:25" ht="12.45" x14ac:dyDescent="0.3">
      <c r="A255" s="260" t="s">
        <v>355</v>
      </c>
      <c r="B255" s="300">
        <v>6.9540000000379179</v>
      </c>
      <c r="C255" s="300">
        <v>0.67900000000266569</v>
      </c>
      <c r="D255" s="300">
        <v>0.28000000000645764</v>
      </c>
      <c r="E255" s="300">
        <f t="shared" ref="E255:E256" si="656">SUM(B255:D255)</f>
        <v>7.9130000000470408</v>
      </c>
      <c r="F255" s="300"/>
      <c r="G255" s="300">
        <v>6.2310000000241859</v>
      </c>
      <c r="H255" s="300">
        <v>0.78100000000163639</v>
      </c>
      <c r="I255" s="300">
        <v>3.0870000000349211</v>
      </c>
      <c r="J255" s="300">
        <f t="shared" ref="J255:J256" si="657">SUM(G255:I255)</f>
        <v>10.099000000060744</v>
      </c>
      <c r="K255" s="300"/>
      <c r="L255" s="300">
        <v>6.2939999999948659</v>
      </c>
      <c r="M255" s="300">
        <v>0.7370000000003748</v>
      </c>
      <c r="N255" s="300">
        <v>3.1920000000409461</v>
      </c>
      <c r="O255" s="300">
        <f t="shared" ref="O255:O256" si="658">SUM(L255:N255)</f>
        <v>10.223000000036187</v>
      </c>
      <c r="P255" s="300"/>
      <c r="Q255" s="300">
        <v>5.3580000000070971</v>
      </c>
      <c r="R255" s="300">
        <v>0.61200000000039989</v>
      </c>
      <c r="S255" s="300">
        <v>2.6060000000824397</v>
      </c>
      <c r="T255" s="300">
        <f t="shared" ref="T255:T256" si="659">SUM(Q255:S255)</f>
        <v>8.5760000000899375</v>
      </c>
      <c r="U255" s="300"/>
      <c r="V255" s="300">
        <v>5.1830000000050394</v>
      </c>
      <c r="W255" s="300">
        <v>0.56899999999850992</v>
      </c>
      <c r="X255" s="300">
        <v>2.3200000000622301</v>
      </c>
      <c r="Y255" s="300">
        <f t="shared" ref="Y255:Y256" si="660">SUM(V255:X255)</f>
        <v>8.0720000000657794</v>
      </c>
    </row>
    <row r="256" spans="1:25" ht="12.45" x14ac:dyDescent="0.3">
      <c r="A256" s="260" t="s">
        <v>354</v>
      </c>
      <c r="B256" s="300">
        <f>SUM(B254:B255)</f>
        <v>11.282000000024091</v>
      </c>
      <c r="C256" s="300">
        <f t="shared" ref="C256" si="661">SUM(C254:C255)</f>
        <v>2.288000000025348</v>
      </c>
      <c r="D256" s="300">
        <f t="shared" ref="D256" si="662">SUM(D254:D255)</f>
        <v>0.64900000001145575</v>
      </c>
      <c r="E256" s="300">
        <f t="shared" si="656"/>
        <v>14.219000000060895</v>
      </c>
      <c r="F256" s="300"/>
      <c r="G256" s="300">
        <f>SUM(G254:G255)</f>
        <v>10.297999999996874</v>
      </c>
      <c r="H256" s="300">
        <f t="shared" ref="H256" si="663">SUM(H254:H255)</f>
        <v>2.3110000000478221</v>
      </c>
      <c r="I256" s="300">
        <f t="shared" ref="I256" si="664">SUM(I254:I255)</f>
        <v>3.4590000000444672</v>
      </c>
      <c r="J256" s="300">
        <f t="shared" si="657"/>
        <v>16.068000000089164</v>
      </c>
      <c r="K256" s="300"/>
      <c r="L256" s="300">
        <f>SUM(L254:L255)</f>
        <v>10.084999999970179</v>
      </c>
      <c r="M256" s="300">
        <f t="shared" ref="M256" si="665">SUM(M254:M255)</f>
        <v>2.4500000000264164</v>
      </c>
      <c r="N256" s="300">
        <f t="shared" ref="N256" si="666">SUM(N254:N255)</f>
        <v>3.4750000000408545</v>
      </c>
      <c r="O256" s="300">
        <f t="shared" si="658"/>
        <v>16.010000000037451</v>
      </c>
      <c r="P256" s="300"/>
      <c r="Q256" s="300">
        <f>SUM(Q254:Q255)</f>
        <v>8.5320000000727561</v>
      </c>
      <c r="R256" s="300">
        <f t="shared" ref="R256" si="667">SUM(R254:R255)</f>
        <v>2.0420000000377971</v>
      </c>
      <c r="S256" s="300">
        <f t="shared" ref="S256" si="668">SUM(S254:S255)</f>
        <v>2.8460000000844072</v>
      </c>
      <c r="T256" s="300">
        <f t="shared" si="659"/>
        <v>13.42000000019496</v>
      </c>
      <c r="U256" s="300"/>
      <c r="V256" s="300">
        <f>SUM(V254:V255)</f>
        <v>8.1569999999981135</v>
      </c>
      <c r="W256" s="300">
        <f t="shared" ref="W256" si="669">SUM(W254:W255)</f>
        <v>1.9059999999892603</v>
      </c>
      <c r="X256" s="300">
        <f t="shared" ref="X256" si="670">SUM(X254:X255)</f>
        <v>2.5530000000635518</v>
      </c>
      <c r="Y256" s="300">
        <f t="shared" si="660"/>
        <v>12.616000000050926</v>
      </c>
    </row>
    <row r="257" spans="1:25" ht="12.45" x14ac:dyDescent="0.3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ht="12.45" x14ac:dyDescent="0.3">
      <c r="A258" s="261" t="str">
        <f>name!A39</f>
        <v>Air transport</v>
      </c>
      <c r="C258" s="263"/>
    </row>
    <row r="259" spans="1:25" ht="12.45" x14ac:dyDescent="0.3">
      <c r="A259" s="260" t="s">
        <v>356</v>
      </c>
      <c r="B259" s="300">
        <v>19.931999999930056</v>
      </c>
      <c r="C259" s="300">
        <v>14.229000000318335</v>
      </c>
      <c r="D259" s="300">
        <v>0.20200000000212867</v>
      </c>
      <c r="E259" s="300">
        <f>SUM(B259:D259)</f>
        <v>34.363000000250523</v>
      </c>
      <c r="F259" s="300"/>
      <c r="G259" s="300">
        <v>22.683999999829176</v>
      </c>
      <c r="H259" s="300">
        <v>13.73400000031562</v>
      </c>
      <c r="I259" s="300">
        <v>0.59400000000719277</v>
      </c>
      <c r="J259" s="300">
        <f>SUM(G259:I259)</f>
        <v>37.012000000151986</v>
      </c>
      <c r="K259" s="300"/>
      <c r="L259" s="300">
        <v>19.496999999867729</v>
      </c>
      <c r="M259" s="300">
        <v>12.955000000036096</v>
      </c>
      <c r="N259" s="300">
        <v>0.31399999999819656</v>
      </c>
      <c r="O259" s="300">
        <f>SUM(L259:N259)</f>
        <v>32.765999999902022</v>
      </c>
      <c r="P259" s="300"/>
      <c r="Q259" s="300">
        <v>20.505000000454963</v>
      </c>
      <c r="R259" s="300">
        <v>13.580000000122871</v>
      </c>
      <c r="S259" s="300">
        <v>0.30599999999927391</v>
      </c>
      <c r="T259" s="300">
        <f>SUM(Q259:S259)</f>
        <v>34.391000000577108</v>
      </c>
      <c r="U259" s="300"/>
      <c r="V259" s="300">
        <v>21.276999999951073</v>
      </c>
      <c r="W259" s="300">
        <v>14.149999999842789</v>
      </c>
      <c r="X259" s="300">
        <v>0.31499999999873746</v>
      </c>
      <c r="Y259" s="300">
        <f>SUM(V259:X259)</f>
        <v>35.741999999792604</v>
      </c>
    </row>
    <row r="260" spans="1:25" ht="12.45" x14ac:dyDescent="0.3">
      <c r="A260" s="260" t="s">
        <v>355</v>
      </c>
      <c r="B260" s="300">
        <v>28.271000000190352</v>
      </c>
      <c r="C260" s="300">
        <v>7.7480000000918618</v>
      </c>
      <c r="D260" s="300">
        <v>0.45800000000733271</v>
      </c>
      <c r="E260" s="300">
        <f t="shared" ref="E260:E261" si="671">SUM(B260:D260)</f>
        <v>36.477000000289543</v>
      </c>
      <c r="F260" s="300"/>
      <c r="G260" s="300">
        <v>32.346000000175366</v>
      </c>
      <c r="H260" s="300">
        <v>5.9240000000464557</v>
      </c>
      <c r="I260" s="300">
        <v>0.18700000000229</v>
      </c>
      <c r="J260" s="300">
        <f t="shared" ref="J260:J261" si="672">SUM(G260:I260)</f>
        <v>38.457000000224113</v>
      </c>
      <c r="K260" s="300"/>
      <c r="L260" s="300">
        <v>29.688999999926452</v>
      </c>
      <c r="M260" s="300">
        <v>4.7879999999892284</v>
      </c>
      <c r="N260" s="300">
        <v>3.2309999999760679</v>
      </c>
      <c r="O260" s="300">
        <f t="shared" ref="O260:O261" si="673">SUM(L260:N260)</f>
        <v>37.707999999891747</v>
      </c>
      <c r="P260" s="300"/>
      <c r="Q260" s="300">
        <v>30.451999999977115</v>
      </c>
      <c r="R260" s="300">
        <v>5.0229999999868635</v>
      </c>
      <c r="S260" s="300">
        <v>3.3289999999573747</v>
      </c>
      <c r="T260" s="300">
        <f t="shared" ref="T260:T261" si="674">SUM(Q260:S260)</f>
        <v>38.803999999921352</v>
      </c>
      <c r="U260" s="300"/>
      <c r="V260" s="300">
        <v>30.017000000003708</v>
      </c>
      <c r="W260" s="300">
        <v>5.068999999995766</v>
      </c>
      <c r="X260" s="300">
        <v>3.3649999999679889</v>
      </c>
      <c r="Y260" s="300">
        <f t="shared" ref="Y260:Y261" si="675">SUM(V260:X260)</f>
        <v>38.450999999967465</v>
      </c>
    </row>
    <row r="261" spans="1:25" ht="12.45" x14ac:dyDescent="0.3">
      <c r="A261" s="260" t="s">
        <v>354</v>
      </c>
      <c r="B261" s="300">
        <f>SUM(B259:B260)</f>
        <v>48.203000000120412</v>
      </c>
      <c r="C261" s="300">
        <f t="shared" ref="C261" si="676">SUM(C259:C260)</f>
        <v>21.977000000410197</v>
      </c>
      <c r="D261" s="300">
        <f t="shared" ref="D261" si="677">SUM(D259:D260)</f>
        <v>0.66000000000946135</v>
      </c>
      <c r="E261" s="300">
        <f t="shared" si="671"/>
        <v>70.840000000540073</v>
      </c>
      <c r="F261" s="300"/>
      <c r="G261" s="300">
        <f>SUM(G259:G260)</f>
        <v>55.030000000004542</v>
      </c>
      <c r="H261" s="300">
        <f t="shared" ref="H261" si="678">SUM(H259:H260)</f>
        <v>19.658000000362076</v>
      </c>
      <c r="I261" s="300">
        <f t="shared" ref="I261" si="679">SUM(I259:I260)</f>
        <v>0.78100000000948278</v>
      </c>
      <c r="J261" s="300">
        <f t="shared" si="672"/>
        <v>75.469000000376099</v>
      </c>
      <c r="K261" s="300"/>
      <c r="L261" s="300">
        <f>SUM(L259:L260)</f>
        <v>49.185999999794177</v>
      </c>
      <c r="M261" s="300">
        <f t="shared" ref="M261" si="680">SUM(M259:M260)</f>
        <v>17.743000000025326</v>
      </c>
      <c r="N261" s="300">
        <f t="shared" ref="N261" si="681">SUM(N259:N260)</f>
        <v>3.5449999999742645</v>
      </c>
      <c r="O261" s="300">
        <f t="shared" si="673"/>
        <v>70.473999999793762</v>
      </c>
      <c r="P261" s="300"/>
      <c r="Q261" s="300">
        <f>SUM(Q259:Q260)</f>
        <v>50.957000000432075</v>
      </c>
      <c r="R261" s="300">
        <f t="shared" ref="R261" si="682">SUM(R259:R260)</f>
        <v>18.603000000109734</v>
      </c>
      <c r="S261" s="300">
        <f t="shared" ref="S261" si="683">SUM(S259:S260)</f>
        <v>3.6349999999566487</v>
      </c>
      <c r="T261" s="300">
        <f t="shared" si="674"/>
        <v>73.195000000498453</v>
      </c>
      <c r="U261" s="300"/>
      <c r="V261" s="300">
        <f>SUM(V259:V260)</f>
        <v>51.293999999954778</v>
      </c>
      <c r="W261" s="300">
        <f t="shared" ref="W261" si="684">SUM(W259:W260)</f>
        <v>19.218999999838555</v>
      </c>
      <c r="X261" s="300">
        <f t="shared" ref="X261" si="685">SUM(X259:X260)</f>
        <v>3.6799999999667263</v>
      </c>
      <c r="Y261" s="300">
        <f t="shared" si="675"/>
        <v>74.192999999760062</v>
      </c>
    </row>
    <row r="262" spans="1:25" ht="12.45" x14ac:dyDescent="0.3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ht="12.45" x14ac:dyDescent="0.3">
      <c r="A263" s="261" t="str">
        <f>name!A40</f>
        <v>Warehousing, etc</v>
      </c>
      <c r="C263" s="263"/>
    </row>
    <row r="264" spans="1:25" ht="12.45" x14ac:dyDescent="0.3">
      <c r="A264" s="260" t="s">
        <v>356</v>
      </c>
      <c r="B264" s="300">
        <v>43.791999999821904</v>
      </c>
      <c r="C264" s="300">
        <v>23.645000000466975</v>
      </c>
      <c r="D264" s="300">
        <v>4.2080000000988935</v>
      </c>
      <c r="E264" s="300">
        <f>SUM(B264:D264)</f>
        <v>71.645000000387768</v>
      </c>
      <c r="F264" s="300"/>
      <c r="G264" s="300">
        <v>56.929999999300875</v>
      </c>
      <c r="H264" s="300">
        <v>30.678000000501754</v>
      </c>
      <c r="I264" s="300">
        <v>9.3380000002290355</v>
      </c>
      <c r="J264" s="300">
        <f>SUM(G264:I264)</f>
        <v>96.94600000003166</v>
      </c>
      <c r="K264" s="300"/>
      <c r="L264" s="300">
        <v>57.508999999541089</v>
      </c>
      <c r="M264" s="300">
        <v>34.072000000417347</v>
      </c>
      <c r="N264" s="300">
        <v>0.23299999999470986</v>
      </c>
      <c r="O264" s="300">
        <f>SUM(L264:N264)</f>
        <v>91.81399999995314</v>
      </c>
      <c r="P264" s="300"/>
      <c r="Q264" s="300">
        <v>62.354000001624797</v>
      </c>
      <c r="R264" s="300">
        <v>37.684000000567671</v>
      </c>
      <c r="S264" s="300">
        <v>0.2649999999998946</v>
      </c>
      <c r="T264" s="300">
        <f>SUM(Q264:S264)</f>
        <v>100.30300000219236</v>
      </c>
      <c r="U264" s="300"/>
      <c r="V264" s="300">
        <v>65.638999999481854</v>
      </c>
      <c r="W264" s="300">
        <v>41.909999999370868</v>
      </c>
      <c r="X264" s="300">
        <v>0.28000000000225056</v>
      </c>
      <c r="Y264" s="300">
        <f>SUM(V264:X264)</f>
        <v>107.82899999885497</v>
      </c>
    </row>
    <row r="265" spans="1:25" ht="12.45" x14ac:dyDescent="0.3">
      <c r="A265" s="260" t="s">
        <v>355</v>
      </c>
      <c r="B265" s="300">
        <v>298.10100000153056</v>
      </c>
      <c r="C265" s="300">
        <v>30.107000000470077</v>
      </c>
      <c r="D265" s="300">
        <v>22.756000000447283</v>
      </c>
      <c r="E265" s="300">
        <f t="shared" ref="E265:E266" si="686">SUM(B265:D265)</f>
        <v>350.9640000024479</v>
      </c>
      <c r="F265" s="300"/>
      <c r="G265" s="300">
        <v>324.3560000009665</v>
      </c>
      <c r="H265" s="300">
        <v>43.620000000487593</v>
      </c>
      <c r="I265" s="300">
        <v>20.811000000032298</v>
      </c>
      <c r="J265" s="300">
        <f t="shared" ref="J265:J266" si="687">SUM(G265:I265)</f>
        <v>388.78700000148643</v>
      </c>
      <c r="K265" s="300"/>
      <c r="L265" s="300">
        <v>333.93599999997804</v>
      </c>
      <c r="M265" s="300">
        <v>50.410999999920968</v>
      </c>
      <c r="N265" s="300">
        <v>27.841000000341921</v>
      </c>
      <c r="O265" s="300">
        <f t="shared" ref="O265:O266" si="688">SUM(L265:N265)</f>
        <v>412.18800000024095</v>
      </c>
      <c r="P265" s="300"/>
      <c r="Q265" s="300">
        <v>350.70400000063722</v>
      </c>
      <c r="R265" s="300">
        <v>52.501999999927534</v>
      </c>
      <c r="S265" s="300">
        <v>26.930000000869271</v>
      </c>
      <c r="T265" s="300">
        <f t="shared" ref="T265:T266" si="689">SUM(Q265:S265)</f>
        <v>430.13600000143401</v>
      </c>
      <c r="U265" s="300"/>
      <c r="V265" s="300">
        <v>354.88000000068723</v>
      </c>
      <c r="W265" s="300">
        <v>55.244000000045787</v>
      </c>
      <c r="X265" s="300">
        <v>26.59800000067299</v>
      </c>
      <c r="Y265" s="300">
        <f t="shared" ref="Y265:Y266" si="690">SUM(V265:X265)</f>
        <v>436.722000001406</v>
      </c>
    </row>
    <row r="266" spans="1:25" ht="12.45" x14ac:dyDescent="0.3">
      <c r="A266" s="260" t="s">
        <v>354</v>
      </c>
      <c r="B266" s="300">
        <f>SUM(B264:B265)</f>
        <v>341.89300000135245</v>
      </c>
      <c r="C266" s="300">
        <f t="shared" ref="C266" si="691">SUM(C264:C265)</f>
        <v>53.752000000937052</v>
      </c>
      <c r="D266" s="300">
        <f t="shared" ref="D266" si="692">SUM(D264:D265)</f>
        <v>26.964000000546179</v>
      </c>
      <c r="E266" s="300">
        <f t="shared" si="686"/>
        <v>422.60900000283573</v>
      </c>
      <c r="F266" s="300"/>
      <c r="G266" s="300">
        <f>SUM(G264:G265)</f>
        <v>381.28600000026739</v>
      </c>
      <c r="H266" s="300">
        <f t="shared" ref="H266" si="693">SUM(H264:H265)</f>
        <v>74.298000000989347</v>
      </c>
      <c r="I266" s="300">
        <f t="shared" ref="I266" si="694">SUM(I264:I265)</f>
        <v>30.149000000261331</v>
      </c>
      <c r="J266" s="300">
        <f t="shared" si="687"/>
        <v>485.73300000151806</v>
      </c>
      <c r="K266" s="300"/>
      <c r="L266" s="300">
        <f>SUM(L264:L265)</f>
        <v>391.44499999951915</v>
      </c>
      <c r="M266" s="300">
        <f t="shared" ref="M266" si="695">SUM(M264:M265)</f>
        <v>84.483000000338308</v>
      </c>
      <c r="N266" s="300">
        <f t="shared" ref="N266" si="696">SUM(N264:N265)</f>
        <v>28.074000000336632</v>
      </c>
      <c r="O266" s="300">
        <f t="shared" si="688"/>
        <v>504.00200000019407</v>
      </c>
      <c r="P266" s="300"/>
      <c r="Q266" s="300">
        <f>SUM(Q264:Q265)</f>
        <v>413.05800000226202</v>
      </c>
      <c r="R266" s="300">
        <f t="shared" ref="R266" si="697">SUM(R264:R265)</f>
        <v>90.186000000495198</v>
      </c>
      <c r="S266" s="300">
        <f t="shared" ref="S266" si="698">SUM(S264:S265)</f>
        <v>27.195000000869165</v>
      </c>
      <c r="T266" s="300">
        <f t="shared" si="689"/>
        <v>530.43900000362635</v>
      </c>
      <c r="U266" s="300"/>
      <c r="V266" s="300">
        <f>SUM(V264:V265)</f>
        <v>420.51900000016906</v>
      </c>
      <c r="W266" s="300">
        <f t="shared" ref="W266" si="699">SUM(W264:W265)</f>
        <v>97.153999999416655</v>
      </c>
      <c r="X266" s="300">
        <f t="shared" ref="X266" si="700">SUM(X264:X265)</f>
        <v>26.87800000067524</v>
      </c>
      <c r="Y266" s="300">
        <f t="shared" si="690"/>
        <v>544.55100000026096</v>
      </c>
    </row>
    <row r="267" spans="1:25" ht="12.45" x14ac:dyDescent="0.3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ht="12.45" x14ac:dyDescent="0.3">
      <c r="A268" s="261" t="str">
        <f>name!A41</f>
        <v>Postal and courier</v>
      </c>
      <c r="C268" s="263"/>
    </row>
    <row r="269" spans="1:25" ht="12.45" x14ac:dyDescent="0.3">
      <c r="A269" s="260" t="s">
        <v>356</v>
      </c>
      <c r="B269" s="300">
        <v>62.320999999944199</v>
      </c>
      <c r="C269" s="300">
        <v>38.946000000918488</v>
      </c>
      <c r="D269" s="300">
        <v>1.9400000000368172</v>
      </c>
      <c r="E269" s="300">
        <f>SUM(B269:D269)</f>
        <v>103.2070000008995</v>
      </c>
      <c r="F269" s="300"/>
      <c r="G269" s="300">
        <v>72.274999999597867</v>
      </c>
      <c r="H269" s="300">
        <v>43.76700000097955</v>
      </c>
      <c r="I269" s="300">
        <v>3.5630000000783184</v>
      </c>
      <c r="J269" s="300">
        <f>SUM(G269:I269)</f>
        <v>119.60500000065574</v>
      </c>
      <c r="K269" s="300"/>
      <c r="L269" s="300">
        <v>72.876999999414011</v>
      </c>
      <c r="M269" s="300">
        <v>47.995000001105034</v>
      </c>
      <c r="N269" s="300">
        <v>4.7819999999403686</v>
      </c>
      <c r="O269" s="300">
        <f>SUM(L269:N269)</f>
        <v>125.65400000045942</v>
      </c>
      <c r="P269" s="300"/>
      <c r="Q269" s="300">
        <v>78.705000001868683</v>
      </c>
      <c r="R269" s="300">
        <v>52.824000001789301</v>
      </c>
      <c r="S269" s="300">
        <v>4.4039999999989865</v>
      </c>
      <c r="T269" s="300">
        <f>SUM(Q269:S269)</f>
        <v>135.93300000365696</v>
      </c>
      <c r="U269" s="300"/>
      <c r="V269" s="300">
        <v>82.580999999369496</v>
      </c>
      <c r="W269" s="300">
        <v>58.4629999991297</v>
      </c>
      <c r="X269" s="300">
        <v>4.128999999971481</v>
      </c>
      <c r="Y269" s="300">
        <f>SUM(V269:X269)</f>
        <v>145.17299999847069</v>
      </c>
    </row>
    <row r="270" spans="1:25" ht="12.45" x14ac:dyDescent="0.3">
      <c r="A270" s="260" t="s">
        <v>355</v>
      </c>
      <c r="B270" s="300">
        <v>111.8510000010331</v>
      </c>
      <c r="C270" s="300">
        <v>21.184000000378994</v>
      </c>
      <c r="D270" s="300">
        <v>11.693000000131672</v>
      </c>
      <c r="E270" s="300">
        <f t="shared" ref="E270:E271" si="701">SUM(B270:D270)</f>
        <v>144.72800000154376</v>
      </c>
      <c r="F270" s="300"/>
      <c r="G270" s="300">
        <v>109.97800000082627</v>
      </c>
      <c r="H270" s="300">
        <v>27.721000000440171</v>
      </c>
      <c r="I270" s="300">
        <v>10.065999999877171</v>
      </c>
      <c r="J270" s="300">
        <f t="shared" ref="J270:J271" si="702">SUM(G270:I270)</f>
        <v>147.76500000114359</v>
      </c>
      <c r="K270" s="300"/>
      <c r="L270" s="300">
        <v>113.24599999973228</v>
      </c>
      <c r="M270" s="300">
        <v>30.846000000113477</v>
      </c>
      <c r="N270" s="300">
        <v>13.243000000072549</v>
      </c>
      <c r="O270" s="300">
        <f t="shared" ref="O270:O271" si="703">SUM(L270:N270)</f>
        <v>157.33499999991832</v>
      </c>
      <c r="P270" s="300"/>
      <c r="Q270" s="300">
        <v>118.22699999994094</v>
      </c>
      <c r="R270" s="300">
        <v>31.989000000141068</v>
      </c>
      <c r="S270" s="300">
        <v>12.746000000298206</v>
      </c>
      <c r="T270" s="300">
        <f t="shared" ref="T270:T271" si="704">SUM(Q270:S270)</f>
        <v>162.96200000038021</v>
      </c>
      <c r="U270" s="300"/>
      <c r="V270" s="300">
        <v>119.1019999997892</v>
      </c>
      <c r="W270" s="300">
        <v>33.516000000203761</v>
      </c>
      <c r="X270" s="300">
        <v>12.535000000254609</v>
      </c>
      <c r="Y270" s="300">
        <f t="shared" ref="Y270:Y271" si="705">SUM(V270:X270)</f>
        <v>165.15300000024754</v>
      </c>
    </row>
    <row r="271" spans="1:25" ht="12.45" x14ac:dyDescent="0.3">
      <c r="A271" s="260" t="s">
        <v>354</v>
      </c>
      <c r="B271" s="300">
        <f>SUM(B269:B270)</f>
        <v>174.17200000097731</v>
      </c>
      <c r="C271" s="300">
        <f t="shared" ref="C271" si="706">SUM(C269:C270)</f>
        <v>60.130000001297482</v>
      </c>
      <c r="D271" s="300">
        <f t="shared" ref="D271" si="707">SUM(D269:D270)</f>
        <v>13.63300000016849</v>
      </c>
      <c r="E271" s="300">
        <f t="shared" si="701"/>
        <v>247.93500000244327</v>
      </c>
      <c r="F271" s="300"/>
      <c r="G271" s="300">
        <f>SUM(G269:G270)</f>
        <v>182.25300000042415</v>
      </c>
      <c r="H271" s="300">
        <f t="shared" ref="H271" si="708">SUM(H269:H270)</f>
        <v>71.488000001419721</v>
      </c>
      <c r="I271" s="300">
        <f t="shared" ref="I271" si="709">SUM(I269:I270)</f>
        <v>13.628999999955489</v>
      </c>
      <c r="J271" s="300">
        <f t="shared" si="702"/>
        <v>267.37000000179938</v>
      </c>
      <c r="K271" s="300"/>
      <c r="L271" s="300">
        <f>SUM(L269:L270)</f>
        <v>186.12299999914629</v>
      </c>
      <c r="M271" s="300">
        <f t="shared" ref="M271" si="710">SUM(M269:M270)</f>
        <v>78.841000001218504</v>
      </c>
      <c r="N271" s="300">
        <f t="shared" ref="N271" si="711">SUM(N269:N270)</f>
        <v>18.025000000012916</v>
      </c>
      <c r="O271" s="300">
        <f t="shared" si="703"/>
        <v>282.9890000003777</v>
      </c>
      <c r="P271" s="300"/>
      <c r="Q271" s="300">
        <f>SUM(Q269:Q270)</f>
        <v>196.93200000180963</v>
      </c>
      <c r="R271" s="300">
        <f t="shared" ref="R271" si="712">SUM(R269:R270)</f>
        <v>84.813000001930362</v>
      </c>
      <c r="S271" s="300">
        <f t="shared" ref="S271" si="713">SUM(S269:S270)</f>
        <v>17.150000000297194</v>
      </c>
      <c r="T271" s="300">
        <f t="shared" si="704"/>
        <v>298.89500000403717</v>
      </c>
      <c r="U271" s="300"/>
      <c r="V271" s="300">
        <f>SUM(V269:V270)</f>
        <v>201.68299999915871</v>
      </c>
      <c r="W271" s="300">
        <f t="shared" ref="W271" si="714">SUM(W269:W270)</f>
        <v>91.978999999333467</v>
      </c>
      <c r="X271" s="300">
        <f t="shared" ref="X271" si="715">SUM(X269:X270)</f>
        <v>16.664000000226089</v>
      </c>
      <c r="Y271" s="300">
        <f t="shared" si="705"/>
        <v>310.32599999871832</v>
      </c>
    </row>
    <row r="272" spans="1:25" ht="12.45" x14ac:dyDescent="0.3">
      <c r="C272" s="263"/>
    </row>
    <row r="273" spans="1:25" x14ac:dyDescent="0.35">
      <c r="A273" s="261" t="s">
        <v>366</v>
      </c>
    </row>
    <row r="274" spans="1:25" ht="12.45" x14ac:dyDescent="0.3">
      <c r="A274" s="260" t="s">
        <v>356</v>
      </c>
      <c r="B274" s="300">
        <f>SUM(B249,B254,B259,B264,B269)</f>
        <v>181.33699999942527</v>
      </c>
      <c r="C274" s="300">
        <f t="shared" ref="C274:D275" si="716">SUM(C249,C254,C259,C264,C269)</f>
        <v>103.68300000223883</v>
      </c>
      <c r="D274" s="300">
        <f t="shared" si="716"/>
        <v>12.227000000260514</v>
      </c>
      <c r="E274" s="300">
        <f>SUM(B274:D274)</f>
        <v>297.24700000192462</v>
      </c>
      <c r="F274" s="300"/>
      <c r="G274" s="300">
        <f>SUM(G249,G254,G259,G264,G269)</f>
        <v>216.85299999816499</v>
      </c>
      <c r="H274" s="300">
        <f t="shared" ref="H274:I274" si="717">SUM(H249,H254,H259,H264,H269)</f>
        <v>126.51500000239305</v>
      </c>
      <c r="I274" s="300">
        <f t="shared" si="717"/>
        <v>22.478000000507677</v>
      </c>
      <c r="J274" s="300">
        <f>SUM(G274:I274)</f>
        <v>365.8460000010657</v>
      </c>
      <c r="K274" s="300"/>
      <c r="L274" s="300">
        <f>SUM(L249,L254,L259,L264,L269)</f>
        <v>218.22199999829397</v>
      </c>
      <c r="M274" s="300">
        <f t="shared" ref="M274:N274" si="718">SUM(M249,M254,M259,M264,M269)</f>
        <v>137.94800000190534</v>
      </c>
      <c r="N274" s="300">
        <f t="shared" si="718"/>
        <v>20.491999999781086</v>
      </c>
      <c r="O274" s="300">
        <f>SUM(L274:N274)</f>
        <v>376.66199999998037</v>
      </c>
      <c r="P274" s="300"/>
      <c r="Q274" s="300">
        <f>SUM(Q249,Q254,Q259,Q264,Q269)</f>
        <v>236.82900000560366</v>
      </c>
      <c r="R274" s="300">
        <f t="shared" ref="R274:S274" si="719">SUM(R249,R254,R259,R264,R269)</f>
        <v>151.82200000295688</v>
      </c>
      <c r="S274" s="300">
        <f t="shared" si="719"/>
        <v>21.397000000020459</v>
      </c>
      <c r="T274" s="300">
        <f>SUM(Q274:S274)</f>
        <v>410.04800000858103</v>
      </c>
      <c r="U274" s="300"/>
      <c r="V274" s="300">
        <f>SUM(V249,V254,V259,V264,V269)</f>
        <v>248.94899999860309</v>
      </c>
      <c r="W274" s="300">
        <f t="shared" ref="W274:X274" si="720">SUM(W249,W254,W259,W264,W269)</f>
        <v>165.46799999763186</v>
      </c>
      <c r="X274" s="300">
        <f t="shared" si="720"/>
        <v>21.393999999940874</v>
      </c>
      <c r="Y274" s="300">
        <f>SUM(V274:X274)</f>
        <v>435.81099999617584</v>
      </c>
    </row>
    <row r="275" spans="1:25" ht="12.45" x14ac:dyDescent="0.3">
      <c r="A275" s="260" t="s">
        <v>355</v>
      </c>
      <c r="B275" s="300">
        <f>SUM(B250,B255,B260,B265,B270)</f>
        <v>803.47900000541722</v>
      </c>
      <c r="C275" s="300">
        <f t="shared" si="716"/>
        <v>85.674000001495045</v>
      </c>
      <c r="D275" s="300">
        <f t="shared" si="716"/>
        <v>213.24600000328977</v>
      </c>
      <c r="E275" s="300">
        <f t="shared" ref="E275:E276" si="721">SUM(B275:D275)</f>
        <v>1102.3990000102021</v>
      </c>
      <c r="F275" s="300"/>
      <c r="G275" s="300">
        <f>SUM(G250,G255,G260,G265,G270)</f>
        <v>854.66800000380363</v>
      </c>
      <c r="H275" s="300">
        <f t="shared" ref="H275:I275" si="722">SUM(H250,H255,H260,H265,H270)</f>
        <v>115.19300000162734</v>
      </c>
      <c r="I275" s="300">
        <f t="shared" si="722"/>
        <v>259.04899998545471</v>
      </c>
      <c r="J275" s="300">
        <f t="shared" ref="J275:J276" si="723">SUM(G275:I275)</f>
        <v>1228.9099999908856</v>
      </c>
      <c r="K275" s="300"/>
      <c r="L275" s="300">
        <f>SUM(L250,L255,L260,L265,L270)</f>
        <v>863.67899999937777</v>
      </c>
      <c r="M275" s="300">
        <f t="shared" ref="M275:N275" si="724">SUM(M250,M255,M260,M265,M270)</f>
        <v>134.54199999976777</v>
      </c>
      <c r="N275" s="300">
        <f t="shared" si="724"/>
        <v>207.89600000387415</v>
      </c>
      <c r="O275" s="300">
        <f t="shared" ref="O275:O276" si="725">SUM(L275:N275)</f>
        <v>1206.1170000030197</v>
      </c>
      <c r="P275" s="300"/>
      <c r="Q275" s="300">
        <f>SUM(Q250,Q255,Q260,Q265,Q270)</f>
        <v>909.30900000100792</v>
      </c>
      <c r="R275" s="300">
        <f t="shared" ref="R275:S275" si="726">SUM(R250,R255,R260,R265,R270)</f>
        <v>142.96299999975167</v>
      </c>
      <c r="S275" s="300">
        <f t="shared" si="726"/>
        <v>225.67000001448494</v>
      </c>
      <c r="T275" s="300">
        <f t="shared" ref="T275:T276" si="727">SUM(Q275:S275)</f>
        <v>1277.9420000152445</v>
      </c>
      <c r="U275" s="300"/>
      <c r="V275" s="300">
        <f>SUM(V250,V255,V260,V265,V270)</f>
        <v>898.16100000069105</v>
      </c>
      <c r="W275" s="300">
        <f t="shared" ref="W275:X275" si="728">SUM(W250,W255,W260,W265,W270)</f>
        <v>149.25100000008894</v>
      </c>
      <c r="X275" s="300">
        <f t="shared" si="728"/>
        <v>237.7440000116961</v>
      </c>
      <c r="Y275" s="300">
        <f t="shared" ref="Y275:Y276" si="729">SUM(V275:X275)</f>
        <v>1285.1560000124759</v>
      </c>
    </row>
    <row r="276" spans="1:25" ht="12.45" x14ac:dyDescent="0.3">
      <c r="A276" s="264" t="s">
        <v>354</v>
      </c>
      <c r="B276" s="301">
        <f>SUM(B274:B275)</f>
        <v>984.81600000484252</v>
      </c>
      <c r="C276" s="301">
        <f t="shared" ref="C276" si="730">SUM(C274:C275)</f>
        <v>189.35700000373387</v>
      </c>
      <c r="D276" s="301">
        <f t="shared" ref="D276" si="731">SUM(D274:D275)</f>
        <v>225.47300000355028</v>
      </c>
      <c r="E276" s="301">
        <f t="shared" si="721"/>
        <v>1399.6460000121265</v>
      </c>
      <c r="F276" s="301"/>
      <c r="G276" s="301">
        <f>SUM(G274:G275)</f>
        <v>1071.5210000019686</v>
      </c>
      <c r="H276" s="301">
        <f t="shared" ref="H276" si="732">SUM(H274:H275)</f>
        <v>241.70800000402039</v>
      </c>
      <c r="I276" s="301">
        <f t="shared" ref="I276" si="733">SUM(I274:I275)</f>
        <v>281.52699998596239</v>
      </c>
      <c r="J276" s="301">
        <f t="shared" si="723"/>
        <v>1594.7559999919513</v>
      </c>
      <c r="K276" s="301"/>
      <c r="L276" s="301">
        <f>SUM(L274:L275)</f>
        <v>1081.9009999976718</v>
      </c>
      <c r="M276" s="301">
        <f t="shared" ref="M276" si="734">SUM(M274:M275)</f>
        <v>272.49000000167314</v>
      </c>
      <c r="N276" s="301">
        <f t="shared" ref="N276" si="735">SUM(N274:N275)</f>
        <v>228.38800000365524</v>
      </c>
      <c r="O276" s="301">
        <f t="shared" si="725"/>
        <v>1582.779000003</v>
      </c>
      <c r="P276" s="301"/>
      <c r="Q276" s="301">
        <f>SUM(Q274:Q275)</f>
        <v>1146.1380000066115</v>
      </c>
      <c r="R276" s="301">
        <f t="shared" ref="R276" si="736">SUM(R274:R275)</f>
        <v>294.78500000270856</v>
      </c>
      <c r="S276" s="301">
        <f t="shared" ref="S276" si="737">SUM(S274:S275)</f>
        <v>247.0670000145054</v>
      </c>
      <c r="T276" s="301">
        <f t="shared" si="727"/>
        <v>1687.9900000238254</v>
      </c>
      <c r="U276" s="301"/>
      <c r="V276" s="301">
        <f>SUM(V274:V275)</f>
        <v>1147.1099999992941</v>
      </c>
      <c r="W276" s="301">
        <f t="shared" ref="W276" si="738">SUM(W274:W275)</f>
        <v>314.7189999977208</v>
      </c>
      <c r="X276" s="301">
        <f t="shared" ref="X276" si="739">SUM(X274:X275)</f>
        <v>259.13800001163696</v>
      </c>
      <c r="Y276" s="301">
        <f t="shared" si="729"/>
        <v>1720.9670000086519</v>
      </c>
    </row>
    <row r="277" spans="1:25" ht="12.45" x14ac:dyDescent="0.3">
      <c r="C277" s="263"/>
    </row>
    <row r="278" spans="1:25" ht="12.45" x14ac:dyDescent="0.3">
      <c r="C278" s="263"/>
    </row>
    <row r="279" spans="1:25" ht="12.45" x14ac:dyDescent="0.3">
      <c r="C279" s="263"/>
    </row>
    <row r="280" spans="1:25" ht="14.15" x14ac:dyDescent="0.35">
      <c r="A280" s="265" t="str">
        <f>"Industry 11 : "&amp; name!B14</f>
        <v>Industry 11 : Accommodation and food</v>
      </c>
      <c r="B280" s="372">
        <f>$B$5</f>
        <v>2015</v>
      </c>
      <c r="C280" s="372"/>
      <c r="D280" s="372"/>
      <c r="E280" s="372"/>
      <c r="F280" s="320"/>
      <c r="G280" s="372">
        <f>$G$5</f>
        <v>2019</v>
      </c>
      <c r="H280" s="372"/>
      <c r="I280" s="372"/>
      <c r="J280" s="372"/>
      <c r="K280" s="320"/>
      <c r="L280" s="372">
        <f>$L$5</f>
        <v>2020</v>
      </c>
      <c r="M280" s="372"/>
      <c r="N280" s="372"/>
      <c r="O280" s="372"/>
      <c r="P280" s="318"/>
      <c r="Q280" s="372">
        <f>$Q$5</f>
        <v>2025</v>
      </c>
      <c r="R280" s="372"/>
      <c r="S280" s="372"/>
      <c r="T280" s="372"/>
      <c r="U280" s="320"/>
      <c r="V280" s="372">
        <f>$V$5</f>
        <v>2035</v>
      </c>
      <c r="W280" s="372"/>
      <c r="X280" s="372"/>
      <c r="Y280" s="372"/>
    </row>
    <row r="281" spans="1:25" ht="12.45" x14ac:dyDescent="0.3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ht="12.45" x14ac:dyDescent="0.3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ht="12.45" x14ac:dyDescent="0.3">
      <c r="A283" s="261" t="str">
        <f>name!A42</f>
        <v>Accommodation</v>
      </c>
      <c r="C283" s="263"/>
    </row>
    <row r="284" spans="1:25" ht="12.45" x14ac:dyDescent="0.3">
      <c r="A284" s="260" t="s">
        <v>356</v>
      </c>
      <c r="B284" s="300">
        <v>98.535000000057678</v>
      </c>
      <c r="C284" s="300">
        <v>98.346000002948884</v>
      </c>
      <c r="D284" s="300">
        <v>21.261000000517257</v>
      </c>
      <c r="E284" s="300">
        <f>SUM(B284:D284)</f>
        <v>218.14200000352383</v>
      </c>
      <c r="F284" s="300"/>
      <c r="G284" s="300">
        <v>109.70099999986796</v>
      </c>
      <c r="H284" s="300">
        <v>109.644000003204</v>
      </c>
      <c r="I284" s="300">
        <v>30.225000000860419</v>
      </c>
      <c r="J284" s="300">
        <f>SUM(G284:I284)</f>
        <v>249.57000000393236</v>
      </c>
      <c r="K284" s="300"/>
      <c r="L284" s="300">
        <v>87.731999999430514</v>
      </c>
      <c r="M284" s="300">
        <v>116.20300000328547</v>
      </c>
      <c r="N284" s="300">
        <v>25.065999999529634</v>
      </c>
      <c r="O284" s="300">
        <f>SUM(L284:N284)</f>
        <v>229.0010000022456</v>
      </c>
      <c r="P284" s="300"/>
      <c r="Q284" s="300">
        <v>96.973000002370853</v>
      </c>
      <c r="R284" s="300">
        <v>131.84600000653288</v>
      </c>
      <c r="S284" s="300">
        <v>28.166000000080359</v>
      </c>
      <c r="T284" s="300">
        <f>SUM(Q284:S284)</f>
        <v>256.98500000898412</v>
      </c>
      <c r="U284" s="300"/>
      <c r="V284" s="300">
        <v>103.50699999941213</v>
      </c>
      <c r="W284" s="300">
        <v>149.09599999835731</v>
      </c>
      <c r="X284" s="300">
        <v>31.092999999750319</v>
      </c>
      <c r="Y284" s="300">
        <f>SUM(V284:X284)</f>
        <v>283.69599999751978</v>
      </c>
    </row>
    <row r="285" spans="1:25" ht="12.45" x14ac:dyDescent="0.3">
      <c r="A285" s="260" t="s">
        <v>355</v>
      </c>
      <c r="B285" s="300">
        <v>114.33800000063702</v>
      </c>
      <c r="C285" s="300">
        <v>41.835000000771664</v>
      </c>
      <c r="D285" s="300">
        <v>13.742000000264555</v>
      </c>
      <c r="E285" s="300">
        <f t="shared" ref="E285:E286" si="740">SUM(B285:D285)</f>
        <v>169.91500000167326</v>
      </c>
      <c r="F285" s="300"/>
      <c r="G285" s="300">
        <v>120.42400000056982</v>
      </c>
      <c r="H285" s="300">
        <v>50.634000000836274</v>
      </c>
      <c r="I285" s="300">
        <v>16.063000000133279</v>
      </c>
      <c r="J285" s="300">
        <f t="shared" ref="J285:J286" si="741">SUM(G285:I285)</f>
        <v>187.12100000153939</v>
      </c>
      <c r="K285" s="300"/>
      <c r="L285" s="300">
        <v>99.801999999485091</v>
      </c>
      <c r="M285" s="300">
        <v>56.465999999855342</v>
      </c>
      <c r="N285" s="300">
        <v>15.032000000173349</v>
      </c>
      <c r="O285" s="300">
        <f t="shared" ref="O285:O286" si="742">SUM(L285:N285)</f>
        <v>171.29999999951377</v>
      </c>
      <c r="P285" s="300"/>
      <c r="Q285" s="300">
        <v>109.90099999992024</v>
      </c>
      <c r="R285" s="300">
        <v>62.990000000116083</v>
      </c>
      <c r="S285" s="300">
        <v>16.851000000384847</v>
      </c>
      <c r="T285" s="300">
        <f t="shared" ref="T285:T286" si="743">SUM(Q285:S285)</f>
        <v>189.7420000004212</v>
      </c>
      <c r="U285" s="300"/>
      <c r="V285" s="300">
        <v>116.36199999963644</v>
      </c>
      <c r="W285" s="300">
        <v>68.453000000140293</v>
      </c>
      <c r="X285" s="300">
        <v>18.610000000259458</v>
      </c>
      <c r="Y285" s="300">
        <f t="shared" ref="Y285:Y286" si="744">SUM(V285:X285)</f>
        <v>203.42500000003616</v>
      </c>
    </row>
    <row r="286" spans="1:25" ht="12.45" x14ac:dyDescent="0.3">
      <c r="A286" s="260" t="s">
        <v>354</v>
      </c>
      <c r="B286" s="300">
        <f>SUM(B284:B285)</f>
        <v>212.8730000006947</v>
      </c>
      <c r="C286" s="300">
        <f t="shared" ref="C286" si="745">SUM(C284:C285)</f>
        <v>140.18100000372056</v>
      </c>
      <c r="D286" s="300">
        <f t="shared" ref="D286" si="746">SUM(D284:D285)</f>
        <v>35.00300000078181</v>
      </c>
      <c r="E286" s="300">
        <f t="shared" si="740"/>
        <v>388.05700000519704</v>
      </c>
      <c r="F286" s="300"/>
      <c r="G286" s="300">
        <f>SUM(G284:G285)</f>
        <v>230.12500000043778</v>
      </c>
      <c r="H286" s="300">
        <f t="shared" ref="H286" si="747">SUM(H284:H285)</f>
        <v>160.27800000404028</v>
      </c>
      <c r="I286" s="300">
        <f t="shared" ref="I286" si="748">SUM(I284:I285)</f>
        <v>46.288000000993698</v>
      </c>
      <c r="J286" s="300">
        <f t="shared" si="741"/>
        <v>436.69100000547172</v>
      </c>
      <c r="K286" s="300"/>
      <c r="L286" s="300">
        <f>SUM(L284:L285)</f>
        <v>187.53399999891559</v>
      </c>
      <c r="M286" s="300">
        <f t="shared" ref="M286" si="749">SUM(M284:M285)</f>
        <v>172.66900000314081</v>
      </c>
      <c r="N286" s="300">
        <f t="shared" ref="N286" si="750">SUM(N284:N285)</f>
        <v>40.097999999702985</v>
      </c>
      <c r="O286" s="300">
        <f t="shared" si="742"/>
        <v>400.30100000175941</v>
      </c>
      <c r="P286" s="300"/>
      <c r="Q286" s="300">
        <f>SUM(Q284:Q285)</f>
        <v>206.8740000022911</v>
      </c>
      <c r="R286" s="300">
        <f t="shared" ref="R286" si="751">SUM(R284:R285)</f>
        <v>194.83600000664896</v>
      </c>
      <c r="S286" s="300">
        <f t="shared" ref="S286" si="752">SUM(S284:S285)</f>
        <v>45.017000000465202</v>
      </c>
      <c r="T286" s="300">
        <f t="shared" si="743"/>
        <v>446.72700000940523</v>
      </c>
      <c r="U286" s="300"/>
      <c r="V286" s="300">
        <f>SUM(V284:V285)</f>
        <v>219.86899999904858</v>
      </c>
      <c r="W286" s="300">
        <f t="shared" ref="W286" si="753">SUM(W284:W285)</f>
        <v>217.54899999849761</v>
      </c>
      <c r="X286" s="300">
        <f t="shared" ref="X286" si="754">SUM(X284:X285)</f>
        <v>49.70300000000978</v>
      </c>
      <c r="Y286" s="300">
        <f t="shared" si="744"/>
        <v>487.12099999755594</v>
      </c>
    </row>
    <row r="287" spans="1:25" ht="12.45" x14ac:dyDescent="0.3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ht="12.45" x14ac:dyDescent="0.3">
      <c r="A288" s="261" t="str">
        <f>name!A43</f>
        <v>Food and beverage services</v>
      </c>
      <c r="C288" s="263"/>
    </row>
    <row r="289" spans="1:25" ht="12.45" x14ac:dyDescent="0.3">
      <c r="A289" s="260" t="s">
        <v>356</v>
      </c>
      <c r="B289" s="300">
        <v>247.28400000041552</v>
      </c>
      <c r="C289" s="300">
        <v>479.33400001525365</v>
      </c>
      <c r="D289" s="300">
        <v>34.388000000862291</v>
      </c>
      <c r="E289" s="300">
        <f>SUM(B289:D289)</f>
        <v>761.00600001653152</v>
      </c>
      <c r="F289" s="300"/>
      <c r="G289" s="300">
        <v>298.96299999929448</v>
      </c>
      <c r="H289" s="300">
        <v>538.00900001578395</v>
      </c>
      <c r="I289" s="300">
        <v>39.638000001146615</v>
      </c>
      <c r="J289" s="300">
        <f>SUM(G289:I289)</f>
        <v>876.61000001622506</v>
      </c>
      <c r="K289" s="300"/>
      <c r="L289" s="300">
        <v>286.88599999800499</v>
      </c>
      <c r="M289" s="300">
        <v>537.08100001397338</v>
      </c>
      <c r="N289" s="300">
        <v>39.942999999219758</v>
      </c>
      <c r="O289" s="300">
        <f>SUM(L289:N289)</f>
        <v>863.91000001119812</v>
      </c>
      <c r="P289" s="300"/>
      <c r="Q289" s="300">
        <v>297.28400000678141</v>
      </c>
      <c r="R289" s="300">
        <v>549.57000002520465</v>
      </c>
      <c r="S289" s="300">
        <v>41.497000000048644</v>
      </c>
      <c r="T289" s="300">
        <f>SUM(Q289:S289)</f>
        <v>888.35100003203468</v>
      </c>
      <c r="U289" s="300"/>
      <c r="V289" s="300">
        <v>348.53299999807336</v>
      </c>
      <c r="W289" s="300">
        <v>625.42499999303186</v>
      </c>
      <c r="X289" s="300">
        <v>48.46799999961096</v>
      </c>
      <c r="Y289" s="300">
        <f>SUM(V289:X289)</f>
        <v>1022.4259999907162</v>
      </c>
    </row>
    <row r="290" spans="1:25" ht="12.45" x14ac:dyDescent="0.3">
      <c r="A290" s="260" t="s">
        <v>355</v>
      </c>
      <c r="B290" s="300">
        <v>354.85300000223225</v>
      </c>
      <c r="C290" s="300">
        <v>330.18200000656708</v>
      </c>
      <c r="D290" s="300">
        <v>49.301000000961892</v>
      </c>
      <c r="E290" s="300">
        <f t="shared" ref="E290:E291" si="755">SUM(B290:D290)</f>
        <v>734.33600000976116</v>
      </c>
      <c r="F290" s="300"/>
      <c r="G290" s="300">
        <v>388.742000001647</v>
      </c>
      <c r="H290" s="300">
        <v>368.3580000062812</v>
      </c>
      <c r="I290" s="300">
        <v>51.547000000412595</v>
      </c>
      <c r="J290" s="300">
        <f t="shared" ref="J290:J291" si="756">SUM(G290:I290)</f>
        <v>808.6470000083408</v>
      </c>
      <c r="K290" s="300"/>
      <c r="L290" s="300">
        <v>352.57799999829905</v>
      </c>
      <c r="M290" s="300">
        <v>390.56799999818872</v>
      </c>
      <c r="N290" s="300">
        <v>28.742000000311815</v>
      </c>
      <c r="O290" s="300">
        <f t="shared" ref="O290:O291" si="757">SUM(L290:N290)</f>
        <v>771.88799999679952</v>
      </c>
      <c r="P290" s="300"/>
      <c r="Q290" s="300">
        <v>367.82199999988558</v>
      </c>
      <c r="R290" s="300">
        <v>400.82899999985261</v>
      </c>
      <c r="S290" s="300">
        <v>29.7520000006696</v>
      </c>
      <c r="T290" s="300">
        <f t="shared" ref="T290:T291" si="758">SUM(Q290:S290)</f>
        <v>798.4030000004077</v>
      </c>
      <c r="U290" s="300"/>
      <c r="V290" s="300">
        <v>436.90299999898383</v>
      </c>
      <c r="W290" s="300">
        <v>460.17800000079819</v>
      </c>
      <c r="X290" s="300">
        <v>34.732000000512855</v>
      </c>
      <c r="Y290" s="300">
        <f t="shared" ref="Y290:Y291" si="759">SUM(V290:X290)</f>
        <v>931.81300000029489</v>
      </c>
    </row>
    <row r="291" spans="1:25" ht="12.45" x14ac:dyDescent="0.3">
      <c r="A291" s="260" t="s">
        <v>354</v>
      </c>
      <c r="B291" s="300">
        <f>SUM(B289:B290)</f>
        <v>602.13700000264771</v>
      </c>
      <c r="C291" s="300">
        <f t="shared" ref="C291" si="760">SUM(C289:C290)</f>
        <v>809.51600002182067</v>
      </c>
      <c r="D291" s="300">
        <f t="shared" ref="D291" si="761">SUM(D289:D290)</f>
        <v>83.689000001824184</v>
      </c>
      <c r="E291" s="300">
        <f t="shared" si="755"/>
        <v>1495.3420000262927</v>
      </c>
      <c r="F291" s="300"/>
      <c r="G291" s="300">
        <f>SUM(G289:G290)</f>
        <v>687.70500000094148</v>
      </c>
      <c r="H291" s="300">
        <f t="shared" ref="H291" si="762">SUM(H289:H290)</f>
        <v>906.36700002206521</v>
      </c>
      <c r="I291" s="300">
        <f t="shared" ref="I291" si="763">SUM(I289:I290)</f>
        <v>91.185000001559217</v>
      </c>
      <c r="J291" s="300">
        <f t="shared" si="756"/>
        <v>1685.257000024566</v>
      </c>
      <c r="K291" s="300"/>
      <c r="L291" s="300">
        <f>SUM(L289:L290)</f>
        <v>639.46399999630398</v>
      </c>
      <c r="M291" s="300">
        <f t="shared" ref="M291" si="764">SUM(M289:M290)</f>
        <v>927.64900001216211</v>
      </c>
      <c r="N291" s="300">
        <f t="shared" ref="N291" si="765">SUM(N289:N290)</f>
        <v>68.68499999953157</v>
      </c>
      <c r="O291" s="300">
        <f t="shared" si="757"/>
        <v>1635.7980000079976</v>
      </c>
      <c r="P291" s="300"/>
      <c r="Q291" s="300">
        <f>SUM(Q289:Q290)</f>
        <v>665.10600000666705</v>
      </c>
      <c r="R291" s="300">
        <f t="shared" ref="R291" si="766">SUM(R289:R290)</f>
        <v>950.39900002505726</v>
      </c>
      <c r="S291" s="300">
        <f t="shared" ref="S291" si="767">SUM(S289:S290)</f>
        <v>71.24900000071824</v>
      </c>
      <c r="T291" s="300">
        <f t="shared" si="758"/>
        <v>1686.7540000324425</v>
      </c>
      <c r="U291" s="300"/>
      <c r="V291" s="300">
        <f>SUM(V289:V290)</f>
        <v>785.43599999705725</v>
      </c>
      <c r="W291" s="300">
        <f t="shared" ref="W291" si="768">SUM(W289:W290)</f>
        <v>1085.6029999938301</v>
      </c>
      <c r="X291" s="300">
        <f t="shared" ref="X291" si="769">SUM(X289:X290)</f>
        <v>83.200000000123822</v>
      </c>
      <c r="Y291" s="300">
        <f t="shared" si="759"/>
        <v>1954.238999991011</v>
      </c>
    </row>
    <row r="292" spans="1:25" ht="12.45" x14ac:dyDescent="0.3">
      <c r="C292" s="263"/>
    </row>
    <row r="293" spans="1:25" x14ac:dyDescent="0.35">
      <c r="A293" s="261" t="s">
        <v>365</v>
      </c>
    </row>
    <row r="294" spans="1:25" ht="12.45" x14ac:dyDescent="0.3">
      <c r="A294" s="260" t="s">
        <v>356</v>
      </c>
      <c r="B294" s="300">
        <f>SUM(B284,B289)</f>
        <v>345.81900000047318</v>
      </c>
      <c r="C294" s="300">
        <f t="shared" ref="C294:D295" si="770">SUM(C284,C289)</f>
        <v>577.68000001820258</v>
      </c>
      <c r="D294" s="300">
        <f t="shared" si="770"/>
        <v>55.649000001379548</v>
      </c>
      <c r="E294" s="300">
        <f>SUM(B294:D294)</f>
        <v>979.14800002005541</v>
      </c>
      <c r="F294" s="300"/>
      <c r="G294" s="300">
        <f>SUM(G284,G289)</f>
        <v>408.66399999916246</v>
      </c>
      <c r="H294" s="300">
        <f t="shared" ref="H294:I294" si="771">SUM(H284,H289)</f>
        <v>647.653000018988</v>
      </c>
      <c r="I294" s="300">
        <f t="shared" si="771"/>
        <v>69.863000002007027</v>
      </c>
      <c r="J294" s="300">
        <f>SUM(G294:I294)</f>
        <v>1126.1800000201574</v>
      </c>
      <c r="K294" s="300"/>
      <c r="L294" s="300">
        <f>SUM(L284,L289)</f>
        <v>374.6179999974355</v>
      </c>
      <c r="M294" s="300">
        <f t="shared" ref="M294:N294" si="772">SUM(M284,M289)</f>
        <v>653.2840000172589</v>
      </c>
      <c r="N294" s="300">
        <f t="shared" si="772"/>
        <v>65.008999998749388</v>
      </c>
      <c r="O294" s="300">
        <f>SUM(L294:N294)</f>
        <v>1092.9110000134438</v>
      </c>
      <c r="P294" s="300"/>
      <c r="Q294" s="300">
        <f>SUM(Q284,Q289)</f>
        <v>394.25700000915225</v>
      </c>
      <c r="R294" s="300">
        <f t="shared" ref="R294:S294" si="773">SUM(R284,R289)</f>
        <v>681.41600003173755</v>
      </c>
      <c r="S294" s="300">
        <f t="shared" si="773"/>
        <v>69.663000000129003</v>
      </c>
      <c r="T294" s="300">
        <f>SUM(Q294:S294)</f>
        <v>1145.3360000410187</v>
      </c>
      <c r="U294" s="300"/>
      <c r="V294" s="300">
        <f>SUM(V284,V289)</f>
        <v>452.03999999748549</v>
      </c>
      <c r="W294" s="300">
        <f t="shared" ref="W294:X294" si="774">SUM(W284,W289)</f>
        <v>774.5209999913892</v>
      </c>
      <c r="X294" s="300">
        <f t="shared" si="774"/>
        <v>79.560999999361286</v>
      </c>
      <c r="Y294" s="300">
        <f>SUM(V294:X294)</f>
        <v>1306.121999988236</v>
      </c>
    </row>
    <row r="295" spans="1:25" ht="12.45" x14ac:dyDescent="0.3">
      <c r="A295" s="260" t="s">
        <v>355</v>
      </c>
      <c r="B295" s="300">
        <f>SUM(B285,B290)</f>
        <v>469.19100000286926</v>
      </c>
      <c r="C295" s="300">
        <f t="shared" si="770"/>
        <v>372.01700000733877</v>
      </c>
      <c r="D295" s="300">
        <f t="shared" si="770"/>
        <v>63.043000001226446</v>
      </c>
      <c r="E295" s="300">
        <f t="shared" ref="E295:E296" si="775">SUM(B295:D295)</f>
        <v>904.25100001143448</v>
      </c>
      <c r="F295" s="300"/>
      <c r="G295" s="300">
        <f>SUM(G285,G290)</f>
        <v>509.16600000221683</v>
      </c>
      <c r="H295" s="300">
        <f t="shared" ref="H295:I295" si="776">SUM(H285,H290)</f>
        <v>418.9920000071175</v>
      </c>
      <c r="I295" s="300">
        <f t="shared" si="776"/>
        <v>67.610000000545881</v>
      </c>
      <c r="J295" s="300">
        <f t="shared" ref="J295:J296" si="777">SUM(G295:I295)</f>
        <v>995.7680000098801</v>
      </c>
      <c r="K295" s="300"/>
      <c r="L295" s="300">
        <f>SUM(L285,L290)</f>
        <v>452.37999999778413</v>
      </c>
      <c r="M295" s="300">
        <f t="shared" ref="M295:N295" si="778">SUM(M285,M290)</f>
        <v>447.03399999804407</v>
      </c>
      <c r="N295" s="300">
        <f t="shared" si="778"/>
        <v>43.774000000485167</v>
      </c>
      <c r="O295" s="300">
        <f t="shared" ref="O295:O296" si="779">SUM(L295:N295)</f>
        <v>943.18799999631335</v>
      </c>
      <c r="P295" s="300"/>
      <c r="Q295" s="300">
        <f>SUM(Q285,Q290)</f>
        <v>477.72299999980584</v>
      </c>
      <c r="R295" s="300">
        <f t="shared" ref="R295:S295" si="780">SUM(R285,R290)</f>
        <v>463.8189999999687</v>
      </c>
      <c r="S295" s="300">
        <f t="shared" si="780"/>
        <v>46.603000001054447</v>
      </c>
      <c r="T295" s="300">
        <f t="shared" ref="T295:T296" si="781">SUM(Q295:S295)</f>
        <v>988.14500000082899</v>
      </c>
      <c r="U295" s="300"/>
      <c r="V295" s="300">
        <f>SUM(V285,V290)</f>
        <v>553.26499999862028</v>
      </c>
      <c r="W295" s="300">
        <f t="shared" ref="W295:X295" si="782">SUM(W285,W290)</f>
        <v>528.63100000093846</v>
      </c>
      <c r="X295" s="300">
        <f t="shared" si="782"/>
        <v>53.342000000772316</v>
      </c>
      <c r="Y295" s="300">
        <f t="shared" ref="Y295:Y296" si="783">SUM(V295:X295)</f>
        <v>1135.2380000003309</v>
      </c>
    </row>
    <row r="296" spans="1:25" ht="12.45" x14ac:dyDescent="0.3">
      <c r="A296" s="264" t="s">
        <v>354</v>
      </c>
      <c r="B296" s="301">
        <f>SUM(B294:B295)</f>
        <v>815.01000000334238</v>
      </c>
      <c r="C296" s="301">
        <f t="shared" ref="C296" si="784">SUM(C294:C295)</f>
        <v>949.69700002554134</v>
      </c>
      <c r="D296" s="301">
        <f t="shared" ref="D296" si="785">SUM(D294:D295)</f>
        <v>118.69200000260599</v>
      </c>
      <c r="E296" s="301">
        <f t="shared" si="775"/>
        <v>1883.3990000314895</v>
      </c>
      <c r="F296" s="301"/>
      <c r="G296" s="301">
        <f>SUM(G294:G295)</f>
        <v>917.83000000137929</v>
      </c>
      <c r="H296" s="301">
        <f t="shared" ref="H296" si="786">SUM(H294:H295)</f>
        <v>1066.6450000261054</v>
      </c>
      <c r="I296" s="301">
        <f t="shared" ref="I296" si="787">SUM(I294:I295)</f>
        <v>137.47300000255291</v>
      </c>
      <c r="J296" s="301">
        <f t="shared" si="777"/>
        <v>2121.9480000300377</v>
      </c>
      <c r="K296" s="301"/>
      <c r="L296" s="301">
        <f>SUM(L294:L295)</f>
        <v>826.99799999521963</v>
      </c>
      <c r="M296" s="301">
        <f t="shared" ref="M296" si="788">SUM(M294:M295)</f>
        <v>1100.3180000153029</v>
      </c>
      <c r="N296" s="301">
        <f t="shared" ref="N296" si="789">SUM(N294:N295)</f>
        <v>108.78299999923456</v>
      </c>
      <c r="O296" s="301">
        <f t="shared" si="779"/>
        <v>2036.0990000097572</v>
      </c>
      <c r="P296" s="301"/>
      <c r="Q296" s="301">
        <f>SUM(Q294:Q295)</f>
        <v>871.98000000895809</v>
      </c>
      <c r="R296" s="301">
        <f t="shared" ref="R296" si="790">SUM(R294:R295)</f>
        <v>1145.2350000317062</v>
      </c>
      <c r="S296" s="301">
        <f t="shared" ref="S296" si="791">SUM(S294:S295)</f>
        <v>116.26600000118344</v>
      </c>
      <c r="T296" s="301">
        <f t="shared" si="781"/>
        <v>2133.4810000418479</v>
      </c>
      <c r="U296" s="301"/>
      <c r="V296" s="301">
        <f>SUM(V294:V295)</f>
        <v>1005.3049999961058</v>
      </c>
      <c r="W296" s="301">
        <f t="shared" ref="W296" si="792">SUM(W294:W295)</f>
        <v>1303.1519999923275</v>
      </c>
      <c r="X296" s="301">
        <f t="shared" ref="X296" si="793">SUM(X294:X295)</f>
        <v>132.9030000001336</v>
      </c>
      <c r="Y296" s="301">
        <f t="shared" si="783"/>
        <v>2441.3599999885669</v>
      </c>
    </row>
    <row r="297" spans="1:25" ht="12.45" x14ac:dyDescent="0.3">
      <c r="C297" s="263"/>
    </row>
    <row r="298" spans="1:25" ht="12.45" x14ac:dyDescent="0.3">
      <c r="C298" s="263"/>
    </row>
    <row r="299" spans="1:25" ht="12.45" x14ac:dyDescent="0.3">
      <c r="C299" s="263"/>
    </row>
    <row r="300" spans="1:25" ht="14.15" x14ac:dyDescent="0.35">
      <c r="A300" s="265" t="str">
        <f>"Industry 12 : "&amp; name!B15</f>
        <v>Industry 12 : Media</v>
      </c>
      <c r="B300" s="372">
        <f>$B$5</f>
        <v>2015</v>
      </c>
      <c r="C300" s="372"/>
      <c r="D300" s="372"/>
      <c r="E300" s="372"/>
      <c r="F300" s="320"/>
      <c r="G300" s="372">
        <f>$G$5</f>
        <v>2019</v>
      </c>
      <c r="H300" s="372"/>
      <c r="I300" s="372"/>
      <c r="J300" s="372"/>
      <c r="K300" s="320"/>
      <c r="L300" s="372">
        <f>$L$5</f>
        <v>2020</v>
      </c>
      <c r="M300" s="372"/>
      <c r="N300" s="372"/>
      <c r="O300" s="372"/>
      <c r="P300" s="318"/>
      <c r="Q300" s="372">
        <f>$Q$5</f>
        <v>2025</v>
      </c>
      <c r="R300" s="372"/>
      <c r="S300" s="372"/>
      <c r="T300" s="372"/>
      <c r="U300" s="320"/>
      <c r="V300" s="372">
        <f>$V$5</f>
        <v>2035</v>
      </c>
      <c r="W300" s="372"/>
      <c r="X300" s="372"/>
      <c r="Y300" s="372"/>
    </row>
    <row r="301" spans="1:25" ht="12.45" x14ac:dyDescent="0.3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ht="12.45" x14ac:dyDescent="0.3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ht="12.45" x14ac:dyDescent="0.3">
      <c r="A303" s="261" t="str">
        <f>name!A44</f>
        <v>Publishing activities</v>
      </c>
      <c r="C303" s="263"/>
    </row>
    <row r="304" spans="1:25" ht="12.45" x14ac:dyDescent="0.3">
      <c r="A304" s="260" t="s">
        <v>356</v>
      </c>
      <c r="B304" s="300">
        <v>34.901999999556992</v>
      </c>
      <c r="C304" s="300">
        <v>12.726000000038285</v>
      </c>
      <c r="D304" s="300">
        <v>16.301000000099304</v>
      </c>
      <c r="E304" s="300">
        <f>SUM(B304:D304)</f>
        <v>63.928999999694582</v>
      </c>
      <c r="F304" s="300"/>
      <c r="G304" s="300">
        <v>31.973999999493888</v>
      </c>
      <c r="H304" s="300">
        <v>9.3390000000304312</v>
      </c>
      <c r="I304" s="300">
        <v>18.323000000156952</v>
      </c>
      <c r="J304" s="300">
        <f>SUM(G304:I304)</f>
        <v>59.635999999681275</v>
      </c>
      <c r="K304" s="300"/>
      <c r="L304" s="300">
        <v>35.109999999841129</v>
      </c>
      <c r="M304" s="300">
        <v>9.1579999999801451</v>
      </c>
      <c r="N304" s="300">
        <v>18.94099999959306</v>
      </c>
      <c r="O304" s="300">
        <f>SUM(L304:N304)</f>
        <v>63.208999999414331</v>
      </c>
      <c r="P304" s="300"/>
      <c r="Q304" s="300">
        <v>35.516000000805114</v>
      </c>
      <c r="R304" s="300">
        <v>9.292999999979056</v>
      </c>
      <c r="S304" s="300">
        <v>18.467999999800167</v>
      </c>
      <c r="T304" s="300">
        <f>SUM(Q304:S304)</f>
        <v>63.277000000584337</v>
      </c>
      <c r="U304" s="300"/>
      <c r="V304" s="300">
        <v>36.11000000002484</v>
      </c>
      <c r="W304" s="300">
        <v>9.3439999999603103</v>
      </c>
      <c r="X304" s="300">
        <v>17.4840000000885</v>
      </c>
      <c r="Y304" s="300">
        <f>SUM(V304:X304)</f>
        <v>62.93800000007365</v>
      </c>
    </row>
    <row r="305" spans="1:25" ht="12.45" x14ac:dyDescent="0.3">
      <c r="A305" s="260" t="s">
        <v>355</v>
      </c>
      <c r="B305" s="300">
        <v>59.473999999313712</v>
      </c>
      <c r="C305" s="300">
        <v>12.258999999995746</v>
      </c>
      <c r="D305" s="300">
        <v>27.394000000395899</v>
      </c>
      <c r="E305" s="300">
        <f t="shared" ref="E305:E306" si="794">SUM(B305:D305)</f>
        <v>99.126999999705362</v>
      </c>
      <c r="F305" s="300"/>
      <c r="G305" s="300">
        <v>56.241999999502994</v>
      </c>
      <c r="H305" s="300">
        <v>6.3259999999764274</v>
      </c>
      <c r="I305" s="300">
        <v>23.835999999968102</v>
      </c>
      <c r="J305" s="300">
        <f t="shared" ref="J305:J306" si="795">SUM(G305:I305)</f>
        <v>86.403999999447521</v>
      </c>
      <c r="K305" s="300"/>
      <c r="L305" s="300">
        <v>56.217999999922633</v>
      </c>
      <c r="M305" s="300">
        <v>8.8910000000078657</v>
      </c>
      <c r="N305" s="300">
        <v>19.933000000502002</v>
      </c>
      <c r="O305" s="300">
        <f t="shared" ref="O305:O306" si="796">SUM(L305:N305)</f>
        <v>85.042000000432509</v>
      </c>
      <c r="P305" s="300"/>
      <c r="Q305" s="300">
        <v>56.300000000125273</v>
      </c>
      <c r="R305" s="300">
        <v>9.210000000004495</v>
      </c>
      <c r="S305" s="300">
        <v>20.169000001158054</v>
      </c>
      <c r="T305" s="300">
        <f t="shared" ref="T305:T306" si="797">SUM(Q305:S305)</f>
        <v>85.679000001287818</v>
      </c>
      <c r="U305" s="300"/>
      <c r="V305" s="300">
        <v>56.124000000075974</v>
      </c>
      <c r="W305" s="300">
        <v>9.7900000000015339</v>
      </c>
      <c r="X305" s="300">
        <v>20.512000000858485</v>
      </c>
      <c r="Y305" s="300">
        <f t="shared" ref="Y305:Y306" si="798">SUM(V305:X305)</f>
        <v>86.426000000936</v>
      </c>
    </row>
    <row r="306" spans="1:25" ht="12.45" x14ac:dyDescent="0.3">
      <c r="A306" s="260" t="s">
        <v>354</v>
      </c>
      <c r="B306" s="300">
        <f>SUM(B304:B305)</f>
        <v>94.375999998870697</v>
      </c>
      <c r="C306" s="300">
        <f t="shared" ref="C306" si="799">SUM(C304:C305)</f>
        <v>24.985000000034031</v>
      </c>
      <c r="D306" s="300">
        <f t="shared" ref="D306" si="800">SUM(D304:D305)</f>
        <v>43.695000000495199</v>
      </c>
      <c r="E306" s="300">
        <f t="shared" si="794"/>
        <v>163.05599999939994</v>
      </c>
      <c r="F306" s="300"/>
      <c r="G306" s="300">
        <f>SUM(G304:G305)</f>
        <v>88.215999998996878</v>
      </c>
      <c r="H306" s="300">
        <f t="shared" ref="H306" si="801">SUM(H304:H305)</f>
        <v>15.665000000006859</v>
      </c>
      <c r="I306" s="300">
        <f t="shared" ref="I306" si="802">SUM(I304:I305)</f>
        <v>42.159000000125054</v>
      </c>
      <c r="J306" s="300">
        <f t="shared" si="795"/>
        <v>146.03999999912878</v>
      </c>
      <c r="K306" s="300"/>
      <c r="L306" s="300">
        <f>SUM(L304:L305)</f>
        <v>91.327999999763762</v>
      </c>
      <c r="M306" s="300">
        <f t="shared" ref="M306" si="803">SUM(M304:M305)</f>
        <v>18.048999999988013</v>
      </c>
      <c r="N306" s="300">
        <f t="shared" ref="N306" si="804">SUM(N304:N305)</f>
        <v>38.874000000095066</v>
      </c>
      <c r="O306" s="300">
        <f t="shared" si="796"/>
        <v>148.25099999984684</v>
      </c>
      <c r="P306" s="300"/>
      <c r="Q306" s="300">
        <f>SUM(Q304:Q305)</f>
        <v>91.816000000930387</v>
      </c>
      <c r="R306" s="300">
        <f t="shared" ref="R306" si="805">SUM(R304:R305)</f>
        <v>18.502999999983551</v>
      </c>
      <c r="S306" s="300">
        <f t="shared" ref="S306" si="806">SUM(S304:S305)</f>
        <v>38.637000000958224</v>
      </c>
      <c r="T306" s="300">
        <f t="shared" si="797"/>
        <v>148.95600000187216</v>
      </c>
      <c r="U306" s="300"/>
      <c r="V306" s="300">
        <f>SUM(V304:V305)</f>
        <v>92.234000000100821</v>
      </c>
      <c r="W306" s="300">
        <f t="shared" ref="W306" si="807">SUM(W304:W305)</f>
        <v>19.133999999961844</v>
      </c>
      <c r="X306" s="300">
        <f t="shared" ref="X306" si="808">SUM(X304:X305)</f>
        <v>37.996000000946985</v>
      </c>
      <c r="Y306" s="300">
        <f t="shared" si="798"/>
        <v>149.36400000100966</v>
      </c>
    </row>
    <row r="307" spans="1:25" ht="12.45" x14ac:dyDescent="0.3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ht="12.45" x14ac:dyDescent="0.3">
      <c r="A308" s="261" t="str">
        <f>name!A45</f>
        <v>Film and music</v>
      </c>
      <c r="C308" s="263"/>
    </row>
    <row r="309" spans="1:25" ht="12.45" x14ac:dyDescent="0.3">
      <c r="A309" s="260" t="s">
        <v>356</v>
      </c>
      <c r="B309" s="300">
        <v>43.487999999660239</v>
      </c>
      <c r="C309" s="300">
        <v>16.131000000135558</v>
      </c>
      <c r="D309" s="300">
        <v>10.990000000104983</v>
      </c>
      <c r="E309" s="300">
        <f>SUM(B309:D309)</f>
        <v>70.608999999900774</v>
      </c>
      <c r="F309" s="300"/>
      <c r="G309" s="300">
        <v>46.977999999570166</v>
      </c>
      <c r="H309" s="300">
        <v>22.273000000184837</v>
      </c>
      <c r="I309" s="300">
        <v>7.758000000060095</v>
      </c>
      <c r="J309" s="300">
        <f>SUM(G309:I309)</f>
        <v>77.008999999815103</v>
      </c>
      <c r="K309" s="300"/>
      <c r="L309" s="300">
        <v>49.565999999953981</v>
      </c>
      <c r="M309" s="300">
        <v>21.179000000082659</v>
      </c>
      <c r="N309" s="300">
        <v>9.1909999997650669</v>
      </c>
      <c r="O309" s="300">
        <f>SUM(L309:N309)</f>
        <v>79.935999999801709</v>
      </c>
      <c r="P309" s="300"/>
      <c r="Q309" s="300">
        <v>50.462000000671651</v>
      </c>
      <c r="R309" s="300">
        <v>21.37700000015435</v>
      </c>
      <c r="S309" s="300">
        <v>9.3819999998887411</v>
      </c>
      <c r="T309" s="300">
        <f>SUM(Q309:S309)</f>
        <v>81.221000000714753</v>
      </c>
      <c r="U309" s="300"/>
      <c r="V309" s="300">
        <v>51.564000000130292</v>
      </c>
      <c r="W309" s="300">
        <v>21.600999999919203</v>
      </c>
      <c r="X309" s="300">
        <v>9.574000000066615</v>
      </c>
      <c r="Y309" s="300">
        <f>SUM(V309:X309)</f>
        <v>82.739000000116121</v>
      </c>
    </row>
    <row r="310" spans="1:25" ht="12.45" x14ac:dyDescent="0.3">
      <c r="A310" s="260" t="s">
        <v>355</v>
      </c>
      <c r="B310" s="300">
        <v>37.310999999896012</v>
      </c>
      <c r="C310" s="300">
        <v>7.7760000000732798</v>
      </c>
      <c r="D310" s="300">
        <v>21.791000000507072</v>
      </c>
      <c r="E310" s="300">
        <f t="shared" ref="E310:E311" si="809">SUM(B310:D310)</f>
        <v>66.878000000476362</v>
      </c>
      <c r="F310" s="300"/>
      <c r="G310" s="300">
        <v>41.122999999955269</v>
      </c>
      <c r="H310" s="300">
        <v>9.539000000074557</v>
      </c>
      <c r="I310" s="300">
        <v>27.296000000011613</v>
      </c>
      <c r="J310" s="300">
        <f t="shared" ref="J310:J311" si="810">SUM(G310:I310)</f>
        <v>77.958000000041437</v>
      </c>
      <c r="K310" s="300"/>
      <c r="L310" s="300">
        <v>41.822000000034464</v>
      </c>
      <c r="M310" s="300">
        <v>11.721000000026415</v>
      </c>
      <c r="N310" s="300">
        <v>21.504000000820998</v>
      </c>
      <c r="O310" s="300">
        <f t="shared" ref="O310:O311" si="811">SUM(L310:N310)</f>
        <v>75.04700000088188</v>
      </c>
      <c r="P310" s="300"/>
      <c r="Q310" s="300">
        <v>42.514000000042046</v>
      </c>
      <c r="R310" s="300">
        <v>12.221000000028864</v>
      </c>
      <c r="S310" s="300">
        <v>21.895000001826514</v>
      </c>
      <c r="T310" s="300">
        <f t="shared" ref="T310:T311" si="812">SUM(Q310:S310)</f>
        <v>76.630000001897429</v>
      </c>
      <c r="U310" s="300"/>
      <c r="V310" s="300">
        <v>42.749000000074801</v>
      </c>
      <c r="W310" s="300">
        <v>13.135000000038005</v>
      </c>
      <c r="X310" s="300">
        <v>22.409000001428289</v>
      </c>
      <c r="Y310" s="300">
        <f t="shared" ref="Y310:Y311" si="813">SUM(V310:X310)</f>
        <v>78.293000001541088</v>
      </c>
    </row>
    <row r="311" spans="1:25" ht="12.45" x14ac:dyDescent="0.3">
      <c r="A311" s="260" t="s">
        <v>354</v>
      </c>
      <c r="B311" s="300">
        <f>SUM(B309:B310)</f>
        <v>80.798999999556258</v>
      </c>
      <c r="C311" s="300">
        <f t="shared" ref="C311" si="814">SUM(C309:C310)</f>
        <v>23.907000000208839</v>
      </c>
      <c r="D311" s="300">
        <f t="shared" ref="D311" si="815">SUM(D309:D310)</f>
        <v>32.781000000612053</v>
      </c>
      <c r="E311" s="300">
        <f t="shared" si="809"/>
        <v>137.48700000037715</v>
      </c>
      <c r="F311" s="300"/>
      <c r="G311" s="300">
        <f>SUM(G309:G310)</f>
        <v>88.100999999525442</v>
      </c>
      <c r="H311" s="300">
        <f t="shared" ref="H311" si="816">SUM(H309:H310)</f>
        <v>31.812000000259395</v>
      </c>
      <c r="I311" s="300">
        <f t="shared" ref="I311" si="817">SUM(I309:I310)</f>
        <v>35.05400000007171</v>
      </c>
      <c r="J311" s="300">
        <f t="shared" si="810"/>
        <v>154.96699999985654</v>
      </c>
      <c r="K311" s="300"/>
      <c r="L311" s="300">
        <f>SUM(L309:L310)</f>
        <v>91.387999999988438</v>
      </c>
      <c r="M311" s="300">
        <f t="shared" ref="M311" si="818">SUM(M309:M310)</f>
        <v>32.900000000109074</v>
      </c>
      <c r="N311" s="300">
        <f t="shared" ref="N311" si="819">SUM(N309:N310)</f>
        <v>30.695000000586063</v>
      </c>
      <c r="O311" s="300">
        <f t="shared" si="811"/>
        <v>154.98300000068357</v>
      </c>
      <c r="P311" s="300"/>
      <c r="Q311" s="300">
        <f>SUM(Q309:Q310)</f>
        <v>92.976000000713697</v>
      </c>
      <c r="R311" s="300">
        <f t="shared" ref="R311" si="820">SUM(R309:R310)</f>
        <v>33.598000000183212</v>
      </c>
      <c r="S311" s="300">
        <f t="shared" ref="S311" si="821">SUM(S309:S310)</f>
        <v>31.277000001715255</v>
      </c>
      <c r="T311" s="300">
        <f t="shared" si="812"/>
        <v>157.85100000261218</v>
      </c>
      <c r="U311" s="300"/>
      <c r="V311" s="300">
        <f>SUM(V309:V310)</f>
        <v>94.313000000205093</v>
      </c>
      <c r="W311" s="300">
        <f t="shared" ref="W311" si="822">SUM(W309:W310)</f>
        <v>34.735999999957208</v>
      </c>
      <c r="X311" s="300">
        <f t="shared" ref="X311" si="823">SUM(X309:X310)</f>
        <v>31.983000001494904</v>
      </c>
      <c r="Y311" s="300">
        <f t="shared" si="813"/>
        <v>161.0320000016572</v>
      </c>
    </row>
    <row r="312" spans="1:25" ht="12.45" x14ac:dyDescent="0.3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ht="12.45" x14ac:dyDescent="0.3">
      <c r="A313" s="261" t="str">
        <f>name!A46</f>
        <v>Broadcasting</v>
      </c>
      <c r="C313" s="263"/>
    </row>
    <row r="314" spans="1:25" ht="12.45" x14ac:dyDescent="0.3">
      <c r="A314" s="260" t="s">
        <v>356</v>
      </c>
      <c r="B314" s="300">
        <v>7.7969999999191595</v>
      </c>
      <c r="C314" s="300">
        <v>1.4080000000027659</v>
      </c>
      <c r="D314" s="300">
        <v>2.0540000000061509</v>
      </c>
      <c r="E314" s="300">
        <f>SUM(B314:D314)</f>
        <v>11.258999999928076</v>
      </c>
      <c r="F314" s="300"/>
      <c r="G314" s="300">
        <v>6.7779999999306435</v>
      </c>
      <c r="H314" s="300">
        <v>2.0950000000035822</v>
      </c>
      <c r="I314" s="300">
        <v>6.156000000048012</v>
      </c>
      <c r="J314" s="300">
        <f>SUM(G314:I314)</f>
        <v>15.028999999982238</v>
      </c>
      <c r="K314" s="300"/>
      <c r="L314" s="300">
        <v>7.436000000004177</v>
      </c>
      <c r="M314" s="300">
        <v>2.1519999999976811</v>
      </c>
      <c r="N314" s="300">
        <v>6.520999999884368</v>
      </c>
      <c r="O314" s="300">
        <f>SUM(L314:N314)</f>
        <v>16.108999999886226</v>
      </c>
      <c r="P314" s="300"/>
      <c r="Q314" s="300">
        <v>7.6960000001314341</v>
      </c>
      <c r="R314" s="300">
        <v>2.2449999999992971</v>
      </c>
      <c r="S314" s="300">
        <v>6.3700000000330741</v>
      </c>
      <c r="T314" s="300">
        <f>SUM(Q314:S314)</f>
        <v>16.311000000163805</v>
      </c>
      <c r="U314" s="300"/>
      <c r="V314" s="300">
        <v>7.9220000000180386</v>
      </c>
      <c r="W314" s="300">
        <v>2.2909999999950696</v>
      </c>
      <c r="X314" s="300">
        <v>5.9030000000570002</v>
      </c>
      <c r="Y314" s="300">
        <f>SUM(V314:X314)</f>
        <v>16.116000000070109</v>
      </c>
    </row>
    <row r="315" spans="1:25" ht="12.45" x14ac:dyDescent="0.3">
      <c r="A315" s="260" t="s">
        <v>355</v>
      </c>
      <c r="B315" s="300">
        <v>18.426999999845798</v>
      </c>
      <c r="C315" s="300">
        <v>1.4790000000104164</v>
      </c>
      <c r="D315" s="300">
        <v>7.735000000168224</v>
      </c>
      <c r="E315" s="300">
        <f t="shared" ref="E315:E316" si="824">SUM(B315:D315)</f>
        <v>27.641000000024437</v>
      </c>
      <c r="F315" s="300"/>
      <c r="G315" s="300">
        <v>18.919999999898785</v>
      </c>
      <c r="H315" s="300">
        <v>1.8810000000083957</v>
      </c>
      <c r="I315" s="300">
        <v>8.3189999999949542</v>
      </c>
      <c r="J315" s="300">
        <f t="shared" ref="J315:J316" si="825">SUM(G315:I315)</f>
        <v>29.119999999902134</v>
      </c>
      <c r="K315" s="300"/>
      <c r="L315" s="300">
        <v>19.094999999994545</v>
      </c>
      <c r="M315" s="300">
        <v>2.5120000000011418</v>
      </c>
      <c r="N315" s="300">
        <v>7.420000000309968</v>
      </c>
      <c r="O315" s="300">
        <f t="shared" ref="O315:O316" si="826">SUM(L315:N315)</f>
        <v>29.027000000305655</v>
      </c>
      <c r="P315" s="300"/>
      <c r="Q315" s="300">
        <v>19.347000000048656</v>
      </c>
      <c r="R315" s="300">
        <v>2.6570000000020855</v>
      </c>
      <c r="S315" s="300">
        <v>7.6120000006709905</v>
      </c>
      <c r="T315" s="300">
        <f t="shared" ref="T315:T316" si="827">SUM(Q315:S315)</f>
        <v>29.616000000721733</v>
      </c>
      <c r="U315" s="300"/>
      <c r="V315" s="300">
        <v>19.43200000006588</v>
      </c>
      <c r="W315" s="300">
        <v>2.8680000000021191</v>
      </c>
      <c r="X315" s="300">
        <v>7.8030000005228644</v>
      </c>
      <c r="Y315" s="300">
        <f t="shared" ref="Y315:Y316" si="828">SUM(V315:X315)</f>
        <v>30.103000000590864</v>
      </c>
    </row>
    <row r="316" spans="1:25" ht="12.45" x14ac:dyDescent="0.3">
      <c r="A316" s="260" t="s">
        <v>354</v>
      </c>
      <c r="B316" s="300">
        <f>SUM(B314:B315)</f>
        <v>26.223999999764956</v>
      </c>
      <c r="C316" s="300">
        <f t="shared" ref="C316" si="829">SUM(C314:C315)</f>
        <v>2.8870000000131824</v>
      </c>
      <c r="D316" s="300">
        <f t="shared" ref="D316" si="830">SUM(D314:D315)</f>
        <v>9.7890000001743758</v>
      </c>
      <c r="E316" s="300">
        <f t="shared" si="824"/>
        <v>38.899999999952513</v>
      </c>
      <c r="F316" s="300"/>
      <c r="G316" s="300">
        <f>SUM(G314:G315)</f>
        <v>25.697999999829428</v>
      </c>
      <c r="H316" s="300">
        <f t="shared" ref="H316" si="831">SUM(H314:H315)</f>
        <v>3.976000000011978</v>
      </c>
      <c r="I316" s="300">
        <f t="shared" ref="I316" si="832">SUM(I314:I315)</f>
        <v>14.475000000042966</v>
      </c>
      <c r="J316" s="300">
        <f t="shared" si="825"/>
        <v>44.148999999884374</v>
      </c>
      <c r="K316" s="300"/>
      <c r="L316" s="300">
        <f>SUM(L314:L315)</f>
        <v>26.530999999998723</v>
      </c>
      <c r="M316" s="300">
        <f t="shared" ref="M316" si="833">SUM(M314:M315)</f>
        <v>4.6639999999988229</v>
      </c>
      <c r="N316" s="300">
        <f t="shared" ref="N316" si="834">SUM(N314:N315)</f>
        <v>13.941000000194336</v>
      </c>
      <c r="O316" s="300">
        <f t="shared" si="826"/>
        <v>45.136000000191885</v>
      </c>
      <c r="P316" s="300"/>
      <c r="Q316" s="300">
        <f>SUM(Q314:Q315)</f>
        <v>27.04300000018009</v>
      </c>
      <c r="R316" s="300">
        <f t="shared" ref="R316" si="835">SUM(R314:R315)</f>
        <v>4.902000000001383</v>
      </c>
      <c r="S316" s="300">
        <f t="shared" ref="S316" si="836">SUM(S314:S315)</f>
        <v>13.982000000704065</v>
      </c>
      <c r="T316" s="300">
        <f t="shared" si="827"/>
        <v>45.927000000885542</v>
      </c>
      <c r="U316" s="300"/>
      <c r="V316" s="300">
        <f>SUM(V314:V315)</f>
        <v>27.354000000083918</v>
      </c>
      <c r="W316" s="300">
        <f t="shared" ref="W316" si="837">SUM(W314:W315)</f>
        <v>5.1589999999971887</v>
      </c>
      <c r="X316" s="300">
        <f t="shared" ref="X316" si="838">SUM(X314:X315)</f>
        <v>13.706000000579865</v>
      </c>
      <c r="Y316" s="300">
        <f t="shared" si="828"/>
        <v>46.219000000660969</v>
      </c>
    </row>
    <row r="317" spans="1:25" ht="12.45" x14ac:dyDescent="0.3">
      <c r="C317" s="263"/>
    </row>
    <row r="318" spans="1:25" ht="12.45" x14ac:dyDescent="0.3">
      <c r="A318" s="261" t="s">
        <v>364</v>
      </c>
      <c r="C318" s="263"/>
    </row>
    <row r="319" spans="1:25" ht="12.45" x14ac:dyDescent="0.3">
      <c r="A319" s="260" t="s">
        <v>356</v>
      </c>
      <c r="B319" s="300">
        <f>SUM(B304,B309,B314)</f>
        <v>86.18699999913639</v>
      </c>
      <c r="C319" s="300">
        <f t="shared" ref="C319:D319" si="839">SUM(C304,C309,C314)</f>
        <v>30.265000000176606</v>
      </c>
      <c r="D319" s="300">
        <f t="shared" si="839"/>
        <v>29.345000000210437</v>
      </c>
      <c r="E319" s="300">
        <f>SUM(B319:D319)</f>
        <v>145.79699999952342</v>
      </c>
      <c r="F319" s="300"/>
      <c r="G319" s="300">
        <f>SUM(G304,G309,G314)</f>
        <v>85.7299999989947</v>
      </c>
      <c r="H319" s="300">
        <f t="shared" ref="H319:I319" si="840">SUM(H304,H309,H314)</f>
        <v>33.707000000218848</v>
      </c>
      <c r="I319" s="300">
        <f t="shared" si="840"/>
        <v>32.237000000265056</v>
      </c>
      <c r="J319" s="300">
        <f>SUM(G319:I319)</f>
        <v>151.67399999947861</v>
      </c>
      <c r="K319" s="300"/>
      <c r="L319" s="300">
        <f>SUM(L304,L309,L314)</f>
        <v>92.111999999799281</v>
      </c>
      <c r="M319" s="300">
        <f t="shared" ref="M319:N319" si="841">SUM(M304,M309,M314)</f>
        <v>32.489000000060486</v>
      </c>
      <c r="N319" s="300">
        <f t="shared" si="841"/>
        <v>34.652999999242496</v>
      </c>
      <c r="O319" s="300">
        <f>SUM(L319:N319)</f>
        <v>159.25399999910226</v>
      </c>
      <c r="P319" s="300"/>
      <c r="Q319" s="300">
        <f>SUM(Q304,Q309,Q314)</f>
        <v>93.674000001608206</v>
      </c>
      <c r="R319" s="300">
        <f t="shared" ref="R319:S319" si="842">SUM(R304,R309,R314)</f>
        <v>32.9150000001327</v>
      </c>
      <c r="S319" s="300">
        <f t="shared" si="842"/>
        <v>34.219999999721985</v>
      </c>
      <c r="T319" s="300">
        <f>SUM(Q319:S319)</f>
        <v>160.80900000146289</v>
      </c>
      <c r="U319" s="300"/>
      <c r="V319" s="300">
        <f>SUM(V304,V309,V314)</f>
        <v>95.596000000173177</v>
      </c>
      <c r="W319" s="300">
        <f t="shared" ref="W319:X319" si="843">SUM(W304,W309,W314)</f>
        <v>33.235999999874586</v>
      </c>
      <c r="X319" s="300">
        <f t="shared" si="843"/>
        <v>32.961000000212117</v>
      </c>
      <c r="Y319" s="300">
        <f>SUM(V319:X319)</f>
        <v>161.79300000025989</v>
      </c>
    </row>
    <row r="320" spans="1:25" ht="12.45" x14ac:dyDescent="0.3">
      <c r="A320" s="260" t="s">
        <v>355</v>
      </c>
      <c r="B320" s="300">
        <f>SUM(B305,B310,B315)</f>
        <v>115.21199999905554</v>
      </c>
      <c r="C320" s="300">
        <f t="shared" ref="C320:D320" si="844">SUM(C305,C310,C315)</f>
        <v>21.514000000079442</v>
      </c>
      <c r="D320" s="300">
        <f t="shared" si="844"/>
        <v>56.920000001071202</v>
      </c>
      <c r="E320" s="300">
        <f t="shared" ref="E320:E321" si="845">SUM(B320:D320)</f>
        <v>193.64600000020619</v>
      </c>
      <c r="F320" s="300"/>
      <c r="G320" s="300">
        <f>SUM(G305,G310,G315)</f>
        <v>116.28499999935704</v>
      </c>
      <c r="H320" s="300">
        <f t="shared" ref="H320:I320" si="846">SUM(H305,H310,H315)</f>
        <v>17.746000000059379</v>
      </c>
      <c r="I320" s="300">
        <f t="shared" si="846"/>
        <v>59.45099999997467</v>
      </c>
      <c r="J320" s="300">
        <f t="shared" ref="J320:J321" si="847">SUM(G320:I320)</f>
        <v>193.48199999939109</v>
      </c>
      <c r="K320" s="300"/>
      <c r="L320" s="300">
        <f>SUM(L305,L310,L315)</f>
        <v>117.13499999995165</v>
      </c>
      <c r="M320" s="300">
        <f t="shared" ref="M320:N320" si="848">SUM(M305,M310,M315)</f>
        <v>23.124000000035419</v>
      </c>
      <c r="N320" s="300">
        <f t="shared" si="848"/>
        <v>48.857000001632969</v>
      </c>
      <c r="O320" s="300">
        <f t="shared" ref="O320:O321" si="849">SUM(L320:N320)</f>
        <v>189.11600000162002</v>
      </c>
      <c r="P320" s="300"/>
      <c r="Q320" s="300">
        <f>SUM(Q305,Q310,Q315)</f>
        <v>118.16100000021596</v>
      </c>
      <c r="R320" s="300">
        <f t="shared" ref="R320:S320" si="850">SUM(R305,R310,R315)</f>
        <v>24.088000000035443</v>
      </c>
      <c r="S320" s="300">
        <f t="shared" si="850"/>
        <v>49.67600000365556</v>
      </c>
      <c r="T320" s="300">
        <f t="shared" ref="T320:T321" si="851">SUM(Q320:S320)</f>
        <v>191.92500000390697</v>
      </c>
      <c r="U320" s="300"/>
      <c r="V320" s="300">
        <f>SUM(V305,V310,V315)</f>
        <v>118.30500000021665</v>
      </c>
      <c r="W320" s="300">
        <f t="shared" ref="W320:X320" si="852">SUM(W305,W310,W315)</f>
        <v>25.793000000041658</v>
      </c>
      <c r="X320" s="300">
        <f t="shared" si="852"/>
        <v>50.724000002809639</v>
      </c>
      <c r="Y320" s="300">
        <f t="shared" ref="Y320:Y321" si="853">SUM(V320:X320)</f>
        <v>194.82200000306796</v>
      </c>
    </row>
    <row r="321" spans="1:25" ht="12.45" x14ac:dyDescent="0.3">
      <c r="A321" s="264" t="s">
        <v>354</v>
      </c>
      <c r="B321" s="301">
        <f>SUM(B319:B320)</f>
        <v>201.39899999819193</v>
      </c>
      <c r="C321" s="301">
        <f t="shared" ref="C321" si="854">SUM(C319:C320)</f>
        <v>51.779000000256048</v>
      </c>
      <c r="D321" s="301">
        <f t="shared" ref="D321" si="855">SUM(D319:D320)</f>
        <v>86.265000001281635</v>
      </c>
      <c r="E321" s="301">
        <f t="shared" si="845"/>
        <v>339.44299999972964</v>
      </c>
      <c r="F321" s="301"/>
      <c r="G321" s="301">
        <f>SUM(G319:G320)</f>
        <v>202.01499999835175</v>
      </c>
      <c r="H321" s="301">
        <f t="shared" ref="H321" si="856">SUM(H319:H320)</f>
        <v>51.453000000278223</v>
      </c>
      <c r="I321" s="301">
        <f t="shared" ref="I321" si="857">SUM(I319:I320)</f>
        <v>91.688000000239725</v>
      </c>
      <c r="J321" s="301">
        <f t="shared" si="847"/>
        <v>345.15599999886967</v>
      </c>
      <c r="K321" s="301"/>
      <c r="L321" s="301">
        <f>SUM(L319:L320)</f>
        <v>209.24699999975093</v>
      </c>
      <c r="M321" s="301">
        <f t="shared" ref="M321" si="858">SUM(M319:M320)</f>
        <v>55.613000000095909</v>
      </c>
      <c r="N321" s="301">
        <f t="shared" ref="N321" si="859">SUM(N319:N320)</f>
        <v>83.510000000875465</v>
      </c>
      <c r="O321" s="301">
        <f t="shared" si="849"/>
        <v>348.37000000072226</v>
      </c>
      <c r="P321" s="301"/>
      <c r="Q321" s="301">
        <f>SUM(Q319:Q320)</f>
        <v>211.83500000182417</v>
      </c>
      <c r="R321" s="301">
        <f t="shared" ref="R321" si="860">SUM(R319:R320)</f>
        <v>57.003000000168143</v>
      </c>
      <c r="S321" s="301">
        <f t="shared" ref="S321" si="861">SUM(S319:S320)</f>
        <v>83.896000003377537</v>
      </c>
      <c r="T321" s="301">
        <f t="shared" si="851"/>
        <v>352.73400000536986</v>
      </c>
      <c r="U321" s="301"/>
      <c r="V321" s="301">
        <f>SUM(V319:V320)</f>
        <v>213.90100000038984</v>
      </c>
      <c r="W321" s="301">
        <f t="shared" ref="W321" si="862">SUM(W319:W320)</f>
        <v>59.028999999916245</v>
      </c>
      <c r="X321" s="301">
        <f t="shared" ref="X321" si="863">SUM(X319:X320)</f>
        <v>83.685000003021756</v>
      </c>
      <c r="Y321" s="301">
        <f t="shared" si="853"/>
        <v>356.61500000332785</v>
      </c>
    </row>
    <row r="322" spans="1:25" ht="12.45" x14ac:dyDescent="0.3">
      <c r="C322" s="263"/>
    </row>
    <row r="323" spans="1:25" ht="12.45" x14ac:dyDescent="0.3">
      <c r="C323" s="263"/>
    </row>
    <row r="324" spans="1:25" x14ac:dyDescent="0.35">
      <c r="A324" s="262"/>
    </row>
    <row r="325" spans="1:25" ht="14.15" x14ac:dyDescent="0.35">
      <c r="A325" s="265" t="str">
        <f>"Industry 13 : "&amp; name!B16</f>
        <v>Industry 13 : Information technology</v>
      </c>
      <c r="B325" s="372">
        <f>$B$5</f>
        <v>2015</v>
      </c>
      <c r="C325" s="372"/>
      <c r="D325" s="372"/>
      <c r="E325" s="372"/>
      <c r="F325" s="320"/>
      <c r="G325" s="372">
        <f>$G$5</f>
        <v>2019</v>
      </c>
      <c r="H325" s="372"/>
      <c r="I325" s="372"/>
      <c r="J325" s="372"/>
      <c r="K325" s="320"/>
      <c r="L325" s="372">
        <f>$L$5</f>
        <v>2020</v>
      </c>
      <c r="M325" s="372"/>
      <c r="N325" s="372"/>
      <c r="O325" s="372"/>
      <c r="P325" s="318"/>
      <c r="Q325" s="372">
        <f>$Q$5</f>
        <v>2025</v>
      </c>
      <c r="R325" s="372"/>
      <c r="S325" s="372"/>
      <c r="T325" s="372"/>
      <c r="U325" s="320"/>
      <c r="V325" s="372">
        <f>$V$5</f>
        <v>2035</v>
      </c>
      <c r="W325" s="372"/>
      <c r="X325" s="372"/>
      <c r="Y325" s="372"/>
    </row>
    <row r="326" spans="1:25" ht="12.45" x14ac:dyDescent="0.3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ht="12.45" x14ac:dyDescent="0.3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ht="12.45" x14ac:dyDescent="0.3">
      <c r="A328" s="261" t="str">
        <f>name!A47</f>
        <v>Telecommunications</v>
      </c>
      <c r="C328" s="263"/>
    </row>
    <row r="329" spans="1:25" ht="12.45" x14ac:dyDescent="0.3">
      <c r="A329" s="260" t="s">
        <v>356</v>
      </c>
      <c r="B329" s="300">
        <v>26.74899999971646</v>
      </c>
      <c r="C329" s="300">
        <v>9.0740000001192609</v>
      </c>
      <c r="D329" s="300">
        <v>3.3600000000248671</v>
      </c>
      <c r="E329" s="300">
        <f>SUM(B329:D329)</f>
        <v>39.182999999860591</v>
      </c>
      <c r="F329" s="300"/>
      <c r="G329" s="300">
        <v>24.596999999670473</v>
      </c>
      <c r="H329" s="300">
        <v>7.6080000000940098</v>
      </c>
      <c r="I329" s="300">
        <v>0.57800000000432195</v>
      </c>
      <c r="J329" s="300">
        <f>SUM(G329:I329)</f>
        <v>32.782999999768805</v>
      </c>
      <c r="K329" s="300"/>
      <c r="L329" s="300">
        <v>27.690999999717977</v>
      </c>
      <c r="M329" s="300">
        <v>5.0090000000695936</v>
      </c>
      <c r="N329" s="300">
        <v>0.47499999999459702</v>
      </c>
      <c r="O329" s="300">
        <f>SUM(L329:N329)</f>
        <v>33.174999999782166</v>
      </c>
      <c r="P329" s="300"/>
      <c r="Q329" s="300">
        <v>30.352000000776115</v>
      </c>
      <c r="R329" s="300">
        <v>5.2990000001654991</v>
      </c>
      <c r="S329" s="300">
        <v>0.43399999999770889</v>
      </c>
      <c r="T329" s="300">
        <f>SUM(Q329:S329)</f>
        <v>36.085000000939324</v>
      </c>
      <c r="U329" s="300"/>
      <c r="V329" s="300">
        <v>34.028000000079089</v>
      </c>
      <c r="W329" s="300">
        <v>5.5030000000571446</v>
      </c>
      <c r="X329" s="300">
        <v>0.40599999999954239</v>
      </c>
      <c r="Y329" s="300">
        <f>SUM(V329:X329)</f>
        <v>39.937000000135775</v>
      </c>
    </row>
    <row r="330" spans="1:25" ht="12.45" x14ac:dyDescent="0.3">
      <c r="A330" s="260" t="s">
        <v>355</v>
      </c>
      <c r="B330" s="300">
        <v>134.74599999817073</v>
      </c>
      <c r="C330" s="300">
        <v>5.4900000000323042</v>
      </c>
      <c r="D330" s="300">
        <v>16.845000000085154</v>
      </c>
      <c r="E330" s="300">
        <f t="shared" ref="E330:E331" si="864">SUM(B330:D330)</f>
        <v>157.08099999828818</v>
      </c>
      <c r="F330" s="300"/>
      <c r="G330" s="300">
        <v>137.82399999864623</v>
      </c>
      <c r="H330" s="300">
        <v>3.94500000003347</v>
      </c>
      <c r="I330" s="300">
        <v>10.074000000016474</v>
      </c>
      <c r="J330" s="300">
        <f t="shared" ref="J330:J331" si="865">SUM(G330:I330)</f>
        <v>151.84299999869617</v>
      </c>
      <c r="K330" s="300"/>
      <c r="L330" s="300">
        <v>127.75399999889395</v>
      </c>
      <c r="M330" s="300">
        <v>5.4409999999770813</v>
      </c>
      <c r="N330" s="300">
        <v>12.34000000012332</v>
      </c>
      <c r="O330" s="300">
        <f t="shared" ref="O330:O331" si="866">SUM(L330:N330)</f>
        <v>145.53499999899435</v>
      </c>
      <c r="P330" s="300"/>
      <c r="Q330" s="300">
        <v>135.78299999973976</v>
      </c>
      <c r="R330" s="300">
        <v>5.875999999986723</v>
      </c>
      <c r="S330" s="300">
        <v>13.491000000336623</v>
      </c>
      <c r="T330" s="300">
        <f t="shared" ref="T330:T331" si="867">SUM(Q330:S330)</f>
        <v>155.1500000000631</v>
      </c>
      <c r="U330" s="300"/>
      <c r="V330" s="300">
        <v>144.28999999922937</v>
      </c>
      <c r="W330" s="300">
        <v>6.3679999999874131</v>
      </c>
      <c r="X330" s="300">
        <v>14.777000000208277</v>
      </c>
      <c r="Y330" s="300">
        <f t="shared" ref="Y330:Y331" si="868">SUM(V330:X330)</f>
        <v>165.43499999942506</v>
      </c>
    </row>
    <row r="331" spans="1:25" ht="12.45" x14ac:dyDescent="0.3">
      <c r="A331" s="260" t="s">
        <v>354</v>
      </c>
      <c r="B331" s="300">
        <f>SUM(B329:B330)</f>
        <v>161.49499999788719</v>
      </c>
      <c r="C331" s="300">
        <f t="shared" ref="C331" si="869">SUM(C329:C330)</f>
        <v>14.564000000151566</v>
      </c>
      <c r="D331" s="300">
        <f t="shared" ref="D331" si="870">SUM(D329:D330)</f>
        <v>20.205000000110022</v>
      </c>
      <c r="E331" s="300">
        <f t="shared" si="864"/>
        <v>196.26399999814879</v>
      </c>
      <c r="F331" s="300"/>
      <c r="G331" s="300">
        <f>SUM(G329:G330)</f>
        <v>162.42099999831669</v>
      </c>
      <c r="H331" s="300">
        <f t="shared" ref="H331" si="871">SUM(H329:H330)</f>
        <v>11.553000000127479</v>
      </c>
      <c r="I331" s="300">
        <f t="shared" ref="I331" si="872">SUM(I329:I330)</f>
        <v>10.652000000020795</v>
      </c>
      <c r="J331" s="300">
        <f t="shared" si="865"/>
        <v>184.62599999846495</v>
      </c>
      <c r="K331" s="300"/>
      <c r="L331" s="300">
        <f>SUM(L329:L330)</f>
        <v>155.44499999861193</v>
      </c>
      <c r="M331" s="300">
        <f t="shared" ref="M331" si="873">SUM(M329:M330)</f>
        <v>10.450000000046675</v>
      </c>
      <c r="N331" s="300">
        <f t="shared" ref="N331" si="874">SUM(N329:N330)</f>
        <v>12.815000000117918</v>
      </c>
      <c r="O331" s="300">
        <f t="shared" si="866"/>
        <v>178.70999999877654</v>
      </c>
      <c r="P331" s="300"/>
      <c r="Q331" s="300">
        <f>SUM(Q329:Q330)</f>
        <v>166.13500000051587</v>
      </c>
      <c r="R331" s="300">
        <f t="shared" ref="R331" si="875">SUM(R329:R330)</f>
        <v>11.175000000152222</v>
      </c>
      <c r="S331" s="300">
        <f t="shared" ref="S331" si="876">SUM(S329:S330)</f>
        <v>13.925000000334332</v>
      </c>
      <c r="T331" s="300">
        <f t="shared" si="867"/>
        <v>191.23500000100242</v>
      </c>
      <c r="U331" s="300"/>
      <c r="V331" s="300">
        <f>SUM(V329:V330)</f>
        <v>178.31799999930846</v>
      </c>
      <c r="W331" s="300">
        <f t="shared" ref="W331" si="877">SUM(W329:W330)</f>
        <v>11.871000000044557</v>
      </c>
      <c r="X331" s="300">
        <f t="shared" ref="X331" si="878">SUM(X329:X330)</f>
        <v>15.183000000207819</v>
      </c>
      <c r="Y331" s="300">
        <f t="shared" si="868"/>
        <v>205.37199999956081</v>
      </c>
    </row>
    <row r="332" spans="1:25" ht="12.45" x14ac:dyDescent="0.3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ht="12.45" x14ac:dyDescent="0.3">
      <c r="A333" s="261" t="str">
        <f>name!A48</f>
        <v>Computing services</v>
      </c>
      <c r="C333" s="263"/>
    </row>
    <row r="334" spans="1:25" ht="12.45" x14ac:dyDescent="0.3">
      <c r="A334" s="260" t="s">
        <v>356</v>
      </c>
      <c r="B334" s="300">
        <v>125.90099999842352</v>
      </c>
      <c r="C334" s="300">
        <v>42.94699999948098</v>
      </c>
      <c r="D334" s="300">
        <v>13.955000000089033</v>
      </c>
      <c r="E334" s="300">
        <f>SUM(B334:D334)</f>
        <v>182.80299999799351</v>
      </c>
      <c r="F334" s="300"/>
      <c r="G334" s="300">
        <v>139.57199999805951</v>
      </c>
      <c r="H334" s="300">
        <v>53.663999999394534</v>
      </c>
      <c r="I334" s="300">
        <v>4.8350000000175646</v>
      </c>
      <c r="J334" s="300">
        <f>SUM(G334:I334)</f>
        <v>198.0709999974716</v>
      </c>
      <c r="K334" s="300"/>
      <c r="L334" s="300">
        <v>163.30899999871394</v>
      </c>
      <c r="M334" s="300">
        <v>39.128999999662653</v>
      </c>
      <c r="N334" s="300">
        <v>16.126999999705323</v>
      </c>
      <c r="O334" s="300">
        <f>SUM(L334:N334)</f>
        <v>218.56499999808193</v>
      </c>
      <c r="P334" s="300"/>
      <c r="Q334" s="300">
        <v>179.16900000360764</v>
      </c>
      <c r="R334" s="300">
        <v>41.321999999616743</v>
      </c>
      <c r="S334" s="300">
        <v>17.636999999831769</v>
      </c>
      <c r="T334" s="300">
        <f>SUM(Q334:S334)</f>
        <v>238.12800000305614</v>
      </c>
      <c r="U334" s="300"/>
      <c r="V334" s="300">
        <v>201.12600000016252</v>
      </c>
      <c r="W334" s="300">
        <v>42.88700000012269</v>
      </c>
      <c r="X334" s="300">
        <v>19.200000000024762</v>
      </c>
      <c r="Y334" s="300">
        <f>SUM(V334:X334)</f>
        <v>263.21300000030999</v>
      </c>
    </row>
    <row r="335" spans="1:25" ht="12.45" x14ac:dyDescent="0.3">
      <c r="A335" s="260" t="s">
        <v>355</v>
      </c>
      <c r="B335" s="300">
        <v>391.97299999310155</v>
      </c>
      <c r="C335" s="300">
        <v>20.228999999663369</v>
      </c>
      <c r="D335" s="300">
        <v>51.447000000384016</v>
      </c>
      <c r="E335" s="300">
        <f t="shared" ref="E335:E336" si="879">SUM(B335:D335)</f>
        <v>463.64899999314895</v>
      </c>
      <c r="F335" s="300"/>
      <c r="G335" s="300">
        <v>463.65299999380636</v>
      </c>
      <c r="H335" s="300">
        <v>24.953999999628429</v>
      </c>
      <c r="I335" s="300">
        <v>38.249999999847361</v>
      </c>
      <c r="J335" s="300">
        <f t="shared" ref="J335:J336" si="880">SUM(G335:I335)</f>
        <v>526.8569999932821</v>
      </c>
      <c r="K335" s="300"/>
      <c r="L335" s="300">
        <v>432.4209999977532</v>
      </c>
      <c r="M335" s="300">
        <v>32.858999999974642</v>
      </c>
      <c r="N335" s="300">
        <v>49.607000000896832</v>
      </c>
      <c r="O335" s="300">
        <f t="shared" ref="O335:O336" si="881">SUM(L335:N335)</f>
        <v>514.88699999862467</v>
      </c>
      <c r="P335" s="300"/>
      <c r="Q335" s="300">
        <v>460.30599999984668</v>
      </c>
      <c r="R335" s="300">
        <v>35.440999999905443</v>
      </c>
      <c r="S335" s="300">
        <v>54.339000002311046</v>
      </c>
      <c r="T335" s="300">
        <f t="shared" ref="T335:T336" si="882">SUM(Q335:S335)</f>
        <v>550.0860000020632</v>
      </c>
      <c r="U335" s="300"/>
      <c r="V335" s="300">
        <v>490.10899999779923</v>
      </c>
      <c r="W335" s="300">
        <v>38.396999999778188</v>
      </c>
      <c r="X335" s="300">
        <v>59.654000001443762</v>
      </c>
      <c r="Y335" s="300">
        <f t="shared" ref="Y335:Y336" si="883">SUM(V335:X335)</f>
        <v>588.15999999902124</v>
      </c>
    </row>
    <row r="336" spans="1:25" ht="12.45" x14ac:dyDescent="0.3">
      <c r="A336" s="260" t="s">
        <v>354</v>
      </c>
      <c r="B336" s="300">
        <f>SUM(B334:B335)</f>
        <v>517.87399999152512</v>
      </c>
      <c r="C336" s="300">
        <f t="shared" ref="C336" si="884">SUM(C334:C335)</f>
        <v>63.175999999144352</v>
      </c>
      <c r="D336" s="300">
        <f t="shared" ref="D336" si="885">SUM(D334:D335)</f>
        <v>65.402000000473052</v>
      </c>
      <c r="E336" s="300">
        <f t="shared" si="879"/>
        <v>646.45199999114254</v>
      </c>
      <c r="F336" s="300"/>
      <c r="G336" s="300">
        <f>SUM(G334:G335)</f>
        <v>603.22499999186584</v>
      </c>
      <c r="H336" s="300">
        <f t="shared" ref="H336" si="886">SUM(H334:H335)</f>
        <v>78.61799999902297</v>
      </c>
      <c r="I336" s="300">
        <f t="shared" ref="I336" si="887">SUM(I334:I335)</f>
        <v>43.084999999864927</v>
      </c>
      <c r="J336" s="300">
        <f t="shared" si="880"/>
        <v>724.92799999075373</v>
      </c>
      <c r="K336" s="300"/>
      <c r="L336" s="300">
        <f>SUM(L334:L335)</f>
        <v>595.72999999646709</v>
      </c>
      <c r="M336" s="300">
        <f t="shared" ref="M336" si="888">SUM(M334:M335)</f>
        <v>71.987999999637296</v>
      </c>
      <c r="N336" s="300">
        <f t="shared" ref="N336" si="889">SUM(N334:N335)</f>
        <v>65.734000000602151</v>
      </c>
      <c r="O336" s="300">
        <f t="shared" si="881"/>
        <v>733.45199999670649</v>
      </c>
      <c r="P336" s="300"/>
      <c r="Q336" s="300">
        <f>SUM(Q334:Q335)</f>
        <v>639.47500000345428</v>
      </c>
      <c r="R336" s="300">
        <f t="shared" ref="R336" si="890">SUM(R334:R335)</f>
        <v>76.762999999522179</v>
      </c>
      <c r="S336" s="300">
        <f t="shared" ref="S336" si="891">SUM(S334:S335)</f>
        <v>71.976000002142811</v>
      </c>
      <c r="T336" s="300">
        <f t="shared" si="882"/>
        <v>788.21400000511926</v>
      </c>
      <c r="U336" s="300"/>
      <c r="V336" s="300">
        <f>SUM(V334:V335)</f>
        <v>691.23499999796172</v>
      </c>
      <c r="W336" s="300">
        <f t="shared" ref="W336" si="892">SUM(W334:W335)</f>
        <v>81.283999999900885</v>
      </c>
      <c r="X336" s="300">
        <f t="shared" ref="X336" si="893">SUM(X334:X335)</f>
        <v>78.854000001468521</v>
      </c>
      <c r="Y336" s="300">
        <f t="shared" si="883"/>
        <v>851.37299999933111</v>
      </c>
    </row>
    <row r="337" spans="1:25" ht="12.45" x14ac:dyDescent="0.3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ht="12.45" x14ac:dyDescent="0.3">
      <c r="A338" s="261" t="str">
        <f>name!A49</f>
        <v>Information services</v>
      </c>
      <c r="C338" s="263"/>
    </row>
    <row r="339" spans="1:25" ht="12.45" x14ac:dyDescent="0.3">
      <c r="A339" s="260" t="s">
        <v>356</v>
      </c>
      <c r="B339" s="300">
        <v>31.714999999783561</v>
      </c>
      <c r="C339" s="300">
        <v>4.0780000000151375</v>
      </c>
      <c r="D339" s="300">
        <v>1.9040000000358486</v>
      </c>
      <c r="E339" s="300">
        <f>SUM(B339:D339)</f>
        <v>37.696999999834546</v>
      </c>
      <c r="F339" s="300"/>
      <c r="G339" s="300">
        <v>28.624999999760519</v>
      </c>
      <c r="H339" s="300">
        <v>5.6130000000202864</v>
      </c>
      <c r="I339" s="300">
        <v>0.74700000001609723</v>
      </c>
      <c r="J339" s="300">
        <f>SUM(G339:I339)</f>
        <v>34.984999999796898</v>
      </c>
      <c r="K339" s="300"/>
      <c r="L339" s="300">
        <v>33.406999999825928</v>
      </c>
      <c r="M339" s="300">
        <v>3.8099999999994405</v>
      </c>
      <c r="N339" s="300">
        <v>1.6599999999627493</v>
      </c>
      <c r="O339" s="300">
        <f>SUM(L339:N339)</f>
        <v>38.876999999788119</v>
      </c>
      <c r="P339" s="300"/>
      <c r="Q339" s="300">
        <v>36.791000000562889</v>
      </c>
      <c r="R339" s="300">
        <v>4.0310000000029556</v>
      </c>
      <c r="S339" s="300">
        <v>1.8249999999842494</v>
      </c>
      <c r="T339" s="300">
        <f>SUM(Q339:S339)</f>
        <v>42.647000000550094</v>
      </c>
      <c r="U339" s="300"/>
      <c r="V339" s="300">
        <v>41.502999999954866</v>
      </c>
      <c r="W339" s="300">
        <v>4.1910000000044807</v>
      </c>
      <c r="X339" s="300">
        <v>1.9009999999898832</v>
      </c>
      <c r="Y339" s="300">
        <f>SUM(V339:X339)</f>
        <v>47.594999999949231</v>
      </c>
    </row>
    <row r="340" spans="1:25" ht="12.45" x14ac:dyDescent="0.3">
      <c r="A340" s="260" t="s">
        <v>355</v>
      </c>
      <c r="B340" s="300">
        <v>46.73499999938192</v>
      </c>
      <c r="C340" s="300">
        <v>2.8690000000222362</v>
      </c>
      <c r="D340" s="300">
        <v>5.8700000000553452</v>
      </c>
      <c r="E340" s="300">
        <f t="shared" ref="E340:E341" si="894">SUM(B340:D340)</f>
        <v>55.473999999459494</v>
      </c>
      <c r="F340" s="300"/>
      <c r="G340" s="300">
        <v>43.814999999510775</v>
      </c>
      <c r="H340" s="300">
        <v>3.2700000000210858</v>
      </c>
      <c r="I340" s="300">
        <v>3.441999999988588</v>
      </c>
      <c r="J340" s="300">
        <f t="shared" ref="J340:J341" si="895">SUM(G340:I340)</f>
        <v>50.526999999520449</v>
      </c>
      <c r="K340" s="300"/>
      <c r="L340" s="300">
        <v>40.916999999959231</v>
      </c>
      <c r="M340" s="300">
        <v>4.8620000000110117</v>
      </c>
      <c r="N340" s="300">
        <v>4.282000000090596</v>
      </c>
      <c r="O340" s="300">
        <f t="shared" ref="O340:O341" si="896">SUM(L340:N340)</f>
        <v>50.061000000060837</v>
      </c>
      <c r="P340" s="300"/>
      <c r="Q340" s="300">
        <v>43.70200000010135</v>
      </c>
      <c r="R340" s="300">
        <v>5.2469999999989936</v>
      </c>
      <c r="S340" s="300">
        <v>4.7040000002146538</v>
      </c>
      <c r="T340" s="300">
        <f t="shared" ref="T340:T341" si="897">SUM(Q340:S340)</f>
        <v>53.653000000314996</v>
      </c>
      <c r="U340" s="300"/>
      <c r="V340" s="300">
        <v>46.712999999995382</v>
      </c>
      <c r="W340" s="300">
        <v>5.6779999999991331</v>
      </c>
      <c r="X340" s="300">
        <v>5.182000000160266</v>
      </c>
      <c r="Y340" s="300">
        <f t="shared" ref="Y340:Y341" si="898">SUM(V340:X340)</f>
        <v>57.573000000154778</v>
      </c>
    </row>
    <row r="341" spans="1:25" ht="12.45" x14ac:dyDescent="0.3">
      <c r="A341" s="260" t="s">
        <v>354</v>
      </c>
      <c r="B341" s="300">
        <f>SUM(B339:B340)</f>
        <v>78.449999999165485</v>
      </c>
      <c r="C341" s="300">
        <f t="shared" ref="C341" si="899">SUM(C339:C340)</f>
        <v>6.9470000000373737</v>
      </c>
      <c r="D341" s="300">
        <f t="shared" ref="D341" si="900">SUM(D339:D340)</f>
        <v>7.7740000000911937</v>
      </c>
      <c r="E341" s="300">
        <f t="shared" si="894"/>
        <v>93.170999999294054</v>
      </c>
      <c r="F341" s="300"/>
      <c r="G341" s="300">
        <f>SUM(G339:G340)</f>
        <v>72.439999999271294</v>
      </c>
      <c r="H341" s="300">
        <f t="shared" ref="H341" si="901">SUM(H339:H340)</f>
        <v>8.8830000000413722</v>
      </c>
      <c r="I341" s="300">
        <f t="shared" ref="I341" si="902">SUM(I339:I340)</f>
        <v>4.1890000000046852</v>
      </c>
      <c r="J341" s="300">
        <f t="shared" si="895"/>
        <v>85.511999999317354</v>
      </c>
      <c r="K341" s="300"/>
      <c r="L341" s="300">
        <f>SUM(L339:L340)</f>
        <v>74.323999999785158</v>
      </c>
      <c r="M341" s="300">
        <f t="shared" ref="M341" si="903">SUM(M339:M340)</f>
        <v>8.6720000000104527</v>
      </c>
      <c r="N341" s="300">
        <f t="shared" ref="N341" si="904">SUM(N339:N340)</f>
        <v>5.9420000000533451</v>
      </c>
      <c r="O341" s="300">
        <f t="shared" si="896"/>
        <v>88.937999999848955</v>
      </c>
      <c r="P341" s="300"/>
      <c r="Q341" s="300">
        <f>SUM(Q339:Q340)</f>
        <v>80.493000000664239</v>
      </c>
      <c r="R341" s="300">
        <f t="shared" ref="R341" si="905">SUM(R339:R340)</f>
        <v>9.2780000000019491</v>
      </c>
      <c r="S341" s="300">
        <f t="shared" ref="S341" si="906">SUM(S339:S340)</f>
        <v>6.529000000198903</v>
      </c>
      <c r="T341" s="300">
        <f t="shared" si="897"/>
        <v>96.300000000865097</v>
      </c>
      <c r="U341" s="300"/>
      <c r="V341" s="300">
        <f>SUM(V339:V340)</f>
        <v>88.215999999950242</v>
      </c>
      <c r="W341" s="300">
        <f t="shared" ref="W341" si="907">SUM(W339:W340)</f>
        <v>9.8690000000036129</v>
      </c>
      <c r="X341" s="300">
        <f t="shared" ref="X341" si="908">SUM(X339:X340)</f>
        <v>7.0830000001501494</v>
      </c>
      <c r="Y341" s="300">
        <f t="shared" si="898"/>
        <v>105.168000000104</v>
      </c>
    </row>
    <row r="342" spans="1:25" ht="12.45" x14ac:dyDescent="0.3">
      <c r="C342" s="263"/>
    </row>
    <row r="343" spans="1:25" ht="12.45" x14ac:dyDescent="0.3">
      <c r="A343" s="261" t="s">
        <v>363</v>
      </c>
      <c r="C343" s="263"/>
    </row>
    <row r="344" spans="1:25" ht="12.45" x14ac:dyDescent="0.3">
      <c r="A344" s="260" t="s">
        <v>356</v>
      </c>
      <c r="B344" s="300">
        <f>SUM(B329,B334,B339)</f>
        <v>184.36499999792355</v>
      </c>
      <c r="C344" s="300">
        <f t="shared" ref="C344:D344" si="909">SUM(C329,C334,C339)</f>
        <v>56.09899999961538</v>
      </c>
      <c r="D344" s="300">
        <f t="shared" si="909"/>
        <v>19.219000000149748</v>
      </c>
      <c r="E344" s="300">
        <f>SUM(B344:D344)</f>
        <v>259.68299999768868</v>
      </c>
      <c r="F344" s="300"/>
      <c r="G344" s="300">
        <f>SUM(G329,G334,G339)</f>
        <v>192.79399999749052</v>
      </c>
      <c r="H344" s="300">
        <f t="shared" ref="H344:I344" si="910">SUM(H329,H334,H339)</f>
        <v>66.884999999508835</v>
      </c>
      <c r="I344" s="300">
        <f t="shared" si="910"/>
        <v>6.160000000037984</v>
      </c>
      <c r="J344" s="300">
        <f>SUM(G344:I344)</f>
        <v>265.83899999703732</v>
      </c>
      <c r="K344" s="300"/>
      <c r="L344" s="300">
        <f>SUM(L329,L334,L339)</f>
        <v>224.40699999825785</v>
      </c>
      <c r="M344" s="300">
        <f t="shared" ref="M344:N344" si="911">SUM(M329,M334,M339)</f>
        <v>47.947999999731685</v>
      </c>
      <c r="N344" s="300">
        <f t="shared" si="911"/>
        <v>18.26199999966267</v>
      </c>
      <c r="O344" s="300">
        <f>SUM(L344:N344)</f>
        <v>290.61699999765221</v>
      </c>
      <c r="P344" s="300"/>
      <c r="Q344" s="300">
        <f>SUM(Q329,Q334,Q339)</f>
        <v>246.31200000494664</v>
      </c>
      <c r="R344" s="300">
        <f t="shared" ref="R344:S344" si="912">SUM(R329,R334,R339)</f>
        <v>50.651999999785197</v>
      </c>
      <c r="S344" s="300">
        <f t="shared" si="912"/>
        <v>19.895999999813728</v>
      </c>
      <c r="T344" s="300">
        <f>SUM(Q344:S344)</f>
        <v>316.86000000454555</v>
      </c>
      <c r="U344" s="300"/>
      <c r="V344" s="300">
        <f>SUM(V329,V334,V339)</f>
        <v>276.65700000019649</v>
      </c>
      <c r="W344" s="300">
        <f t="shared" ref="W344:X344" si="913">SUM(W329,W334,W339)</f>
        <v>52.581000000184311</v>
      </c>
      <c r="X344" s="300">
        <f t="shared" si="913"/>
        <v>21.507000000014187</v>
      </c>
      <c r="Y344" s="300">
        <f>SUM(V344:X344)</f>
        <v>350.74500000039495</v>
      </c>
    </row>
    <row r="345" spans="1:25" ht="12.45" x14ac:dyDescent="0.3">
      <c r="A345" s="260" t="s">
        <v>355</v>
      </c>
      <c r="B345" s="300">
        <f>SUM(B330,B335,B340)</f>
        <v>573.45399999065421</v>
      </c>
      <c r="C345" s="300">
        <f t="shared" ref="C345:D345" si="914">SUM(C330,C335,C340)</f>
        <v>28.587999999717908</v>
      </c>
      <c r="D345" s="300">
        <f t="shared" si="914"/>
        <v>74.162000000524515</v>
      </c>
      <c r="E345" s="300">
        <f t="shared" ref="E345:E346" si="915">SUM(B345:D345)</f>
        <v>676.20399999089659</v>
      </c>
      <c r="F345" s="300"/>
      <c r="G345" s="300">
        <f>SUM(G330,G335,G340)</f>
        <v>645.29199999196339</v>
      </c>
      <c r="H345" s="300">
        <f t="shared" ref="H345:I345" si="916">SUM(H330,H335,H340)</f>
        <v>32.168999999682988</v>
      </c>
      <c r="I345" s="300">
        <f t="shared" si="916"/>
        <v>51.765999999852426</v>
      </c>
      <c r="J345" s="300">
        <f t="shared" ref="J345:J346" si="917">SUM(G345:I345)</f>
        <v>729.22699999149881</v>
      </c>
      <c r="K345" s="300"/>
      <c r="L345" s="300">
        <f>SUM(L330,L335,L340)</f>
        <v>601.09199999660632</v>
      </c>
      <c r="M345" s="300">
        <f t="shared" ref="M345:N345" si="918">SUM(M330,M335,M340)</f>
        <v>43.161999999962731</v>
      </c>
      <c r="N345" s="300">
        <f t="shared" si="918"/>
        <v>66.229000001110748</v>
      </c>
      <c r="O345" s="300">
        <f t="shared" ref="O345:O346" si="919">SUM(L345:N345)</f>
        <v>710.48299999767983</v>
      </c>
      <c r="P345" s="300"/>
      <c r="Q345" s="300">
        <f>SUM(Q330,Q335,Q340)</f>
        <v>639.79099999968776</v>
      </c>
      <c r="R345" s="300">
        <f t="shared" ref="R345:S345" si="920">SUM(R330,R335,R340)</f>
        <v>46.563999999891159</v>
      </c>
      <c r="S345" s="300">
        <f t="shared" si="920"/>
        <v>72.534000002862314</v>
      </c>
      <c r="T345" s="300">
        <f t="shared" ref="T345:T346" si="921">SUM(Q345:S345)</f>
        <v>758.88900000244121</v>
      </c>
      <c r="U345" s="300"/>
      <c r="V345" s="300">
        <f>SUM(V330,V335,V340)</f>
        <v>681.11199999702399</v>
      </c>
      <c r="W345" s="300">
        <f t="shared" ref="W345:X345" si="922">SUM(W330,W335,W340)</f>
        <v>50.44299999976473</v>
      </c>
      <c r="X345" s="300">
        <f t="shared" si="922"/>
        <v>79.61300000181231</v>
      </c>
      <c r="Y345" s="300">
        <f t="shared" ref="Y345:Y346" si="923">SUM(V345:X345)</f>
        <v>811.16799999860109</v>
      </c>
    </row>
    <row r="346" spans="1:25" ht="12.45" x14ac:dyDescent="0.3">
      <c r="A346" s="264" t="s">
        <v>354</v>
      </c>
      <c r="B346" s="301">
        <f>SUM(B344:B345)</f>
        <v>757.81899998857773</v>
      </c>
      <c r="C346" s="301">
        <f t="shared" ref="C346" si="924">SUM(C344:C345)</f>
        <v>84.686999999333295</v>
      </c>
      <c r="D346" s="301">
        <f t="shared" ref="D346" si="925">SUM(D344:D345)</f>
        <v>93.381000000674263</v>
      </c>
      <c r="E346" s="301">
        <f t="shared" si="915"/>
        <v>935.88699998858533</v>
      </c>
      <c r="F346" s="301"/>
      <c r="G346" s="301">
        <f>SUM(G344:G345)</f>
        <v>838.08599998945397</v>
      </c>
      <c r="H346" s="301">
        <f t="shared" ref="H346" si="926">SUM(H344:H345)</f>
        <v>99.053999999191831</v>
      </c>
      <c r="I346" s="301">
        <f t="shared" ref="I346" si="927">SUM(I344:I345)</f>
        <v>57.925999999890408</v>
      </c>
      <c r="J346" s="301">
        <f t="shared" si="917"/>
        <v>995.06599998853619</v>
      </c>
      <c r="K346" s="301"/>
      <c r="L346" s="301">
        <f>SUM(L344:L345)</f>
        <v>825.49899999486411</v>
      </c>
      <c r="M346" s="301">
        <f t="shared" ref="M346" si="928">SUM(M344:M345)</f>
        <v>91.109999999694423</v>
      </c>
      <c r="N346" s="301">
        <f t="shared" ref="N346" si="929">SUM(N344:N345)</f>
        <v>84.491000000773425</v>
      </c>
      <c r="O346" s="301">
        <f t="shared" si="919"/>
        <v>1001.0999999953319</v>
      </c>
      <c r="P346" s="301"/>
      <c r="Q346" s="301">
        <f>SUM(Q344:Q345)</f>
        <v>886.1030000046344</v>
      </c>
      <c r="R346" s="301">
        <f t="shared" ref="R346" si="930">SUM(R344:R345)</f>
        <v>97.215999999676356</v>
      </c>
      <c r="S346" s="301">
        <f t="shared" ref="S346" si="931">SUM(S344:S345)</f>
        <v>92.430000002676039</v>
      </c>
      <c r="T346" s="301">
        <f t="shared" si="921"/>
        <v>1075.7490000069868</v>
      </c>
      <c r="U346" s="301"/>
      <c r="V346" s="301">
        <f>SUM(V344:V345)</f>
        <v>957.76899999722048</v>
      </c>
      <c r="W346" s="301">
        <f t="shared" ref="W346" si="932">SUM(W344:W345)</f>
        <v>103.02399999994904</v>
      </c>
      <c r="X346" s="301">
        <f t="shared" ref="X346" si="933">SUM(X344:X345)</f>
        <v>101.1200000018265</v>
      </c>
      <c r="Y346" s="301">
        <f t="shared" si="923"/>
        <v>1161.9129999989959</v>
      </c>
    </row>
    <row r="347" spans="1:25" x14ac:dyDescent="0.35">
      <c r="A347" s="262"/>
    </row>
    <row r="348" spans="1:25" x14ac:dyDescent="0.35">
      <c r="A348" s="261"/>
    </row>
    <row r="349" spans="1:25" ht="12.45" x14ac:dyDescent="0.3">
      <c r="C349" s="263"/>
    </row>
    <row r="350" spans="1:25" ht="14.15" x14ac:dyDescent="0.35">
      <c r="A350" s="265" t="str">
        <f>"Industry 14 : "&amp; name!B17</f>
        <v>Industry 14 : Finance and insurance</v>
      </c>
      <c r="B350" s="372">
        <f>$B$5</f>
        <v>2015</v>
      </c>
      <c r="C350" s="372"/>
      <c r="D350" s="372"/>
      <c r="E350" s="372"/>
      <c r="F350" s="320"/>
      <c r="G350" s="372">
        <f>$G$5</f>
        <v>2019</v>
      </c>
      <c r="H350" s="372"/>
      <c r="I350" s="372"/>
      <c r="J350" s="372"/>
      <c r="K350" s="320"/>
      <c r="L350" s="372">
        <f>$L$5</f>
        <v>2020</v>
      </c>
      <c r="M350" s="372"/>
      <c r="N350" s="372"/>
      <c r="O350" s="372"/>
      <c r="P350" s="318"/>
      <c r="Q350" s="372">
        <f>$Q$5</f>
        <v>2025</v>
      </c>
      <c r="R350" s="372"/>
      <c r="S350" s="372"/>
      <c r="T350" s="372"/>
      <c r="U350" s="320"/>
      <c r="V350" s="372">
        <f>$V$5</f>
        <v>2035</v>
      </c>
      <c r="W350" s="372"/>
      <c r="X350" s="372"/>
      <c r="Y350" s="372"/>
    </row>
    <row r="351" spans="1:25" ht="12.45" x14ac:dyDescent="0.3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ht="12.45" x14ac:dyDescent="0.3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ht="12.45" x14ac:dyDescent="0.3">
      <c r="A353" s="261" t="str">
        <f>name!A50</f>
        <v>Financial services</v>
      </c>
      <c r="C353" s="263"/>
    </row>
    <row r="354" spans="1:25" ht="12.45" x14ac:dyDescent="0.3">
      <c r="A354" s="260" t="s">
        <v>356</v>
      </c>
      <c r="B354" s="300">
        <v>135.57999999854724</v>
      </c>
      <c r="C354" s="300">
        <v>64.886000000347977</v>
      </c>
      <c r="D354" s="300">
        <v>4.3990000001055902</v>
      </c>
      <c r="E354" s="300">
        <f>SUM(B354:D354)</f>
        <v>204.86499999900079</v>
      </c>
      <c r="F354" s="300"/>
      <c r="G354" s="300">
        <v>135.50399999796582</v>
      </c>
      <c r="H354" s="300">
        <v>54.879000000373679</v>
      </c>
      <c r="I354" s="300">
        <v>1.7130000000353416</v>
      </c>
      <c r="J354" s="300">
        <f>SUM(G354:I354)</f>
        <v>192.09599999837485</v>
      </c>
      <c r="K354" s="300"/>
      <c r="L354" s="300">
        <v>138.04699999863001</v>
      </c>
      <c r="M354" s="300">
        <v>57.408000000258454</v>
      </c>
      <c r="N354" s="300">
        <v>2.4259999999463746</v>
      </c>
      <c r="O354" s="300">
        <f>SUM(L354:N354)</f>
        <v>197.88099999883485</v>
      </c>
      <c r="P354" s="300"/>
      <c r="Q354" s="300">
        <v>137.83200000358224</v>
      </c>
      <c r="R354" s="300">
        <v>56.638000000603427</v>
      </c>
      <c r="S354" s="300">
        <v>2.2279999999860172</v>
      </c>
      <c r="T354" s="300">
        <f>SUM(Q354:S354)</f>
        <v>196.69800000417169</v>
      </c>
      <c r="U354" s="300"/>
      <c r="V354" s="300">
        <v>134.12900000065522</v>
      </c>
      <c r="W354" s="300">
        <v>54.336999999911612</v>
      </c>
      <c r="X354" s="300">
        <v>2.146999999996329</v>
      </c>
      <c r="Y354" s="300">
        <f>SUM(V354:X354)</f>
        <v>190.61300000056318</v>
      </c>
    </row>
    <row r="355" spans="1:25" ht="12.45" x14ac:dyDescent="0.3">
      <c r="A355" s="260" t="s">
        <v>355</v>
      </c>
      <c r="B355" s="300">
        <v>215.81399999662489</v>
      </c>
      <c r="C355" s="300">
        <v>8.7910000000053294</v>
      </c>
      <c r="D355" s="300">
        <v>24.080000000296398</v>
      </c>
      <c r="E355" s="300">
        <f t="shared" ref="E355:E356" si="934">SUM(B355:D355)</f>
        <v>248.68499999692662</v>
      </c>
      <c r="F355" s="300"/>
      <c r="G355" s="300">
        <v>222.31599999745242</v>
      </c>
      <c r="H355" s="300">
        <v>8.2630000000263948</v>
      </c>
      <c r="I355" s="300">
        <v>20.089999999985245</v>
      </c>
      <c r="J355" s="300">
        <f t="shared" ref="J355:J356" si="935">SUM(G355:I355)</f>
        <v>250.66899999746408</v>
      </c>
      <c r="K355" s="300"/>
      <c r="L355" s="300">
        <v>220.32299999969754</v>
      </c>
      <c r="M355" s="300">
        <v>9.7149999999812788</v>
      </c>
      <c r="N355" s="300">
        <v>9.2460000001938241</v>
      </c>
      <c r="O355" s="300">
        <f t="shared" ref="O355:O356" si="936">SUM(L355:N355)</f>
        <v>239.28399999987263</v>
      </c>
      <c r="P355" s="300"/>
      <c r="Q355" s="300">
        <v>221.55000000125739</v>
      </c>
      <c r="R355" s="300">
        <v>10.149999999963217</v>
      </c>
      <c r="S355" s="300">
        <v>8.7390000004548209</v>
      </c>
      <c r="T355" s="300">
        <f t="shared" ref="T355:T356" si="937">SUM(Q355:S355)</f>
        <v>240.43900000167542</v>
      </c>
      <c r="U355" s="300"/>
      <c r="V355" s="300">
        <v>217.85800000119522</v>
      </c>
      <c r="W355" s="300">
        <v>10.60299999994138</v>
      </c>
      <c r="X355" s="300">
        <v>8.5710000003257143</v>
      </c>
      <c r="Y355" s="300">
        <f t="shared" ref="Y355:Y356" si="938">SUM(V355:X355)</f>
        <v>237.03200000146231</v>
      </c>
    </row>
    <row r="356" spans="1:25" ht="12.45" x14ac:dyDescent="0.3">
      <c r="A356" s="260" t="s">
        <v>354</v>
      </c>
      <c r="B356" s="300">
        <f>SUM(B354:B355)</f>
        <v>351.39399999517212</v>
      </c>
      <c r="C356" s="300">
        <f t="shared" ref="C356" si="939">SUM(C354:C355)</f>
        <v>73.677000000353303</v>
      </c>
      <c r="D356" s="300">
        <f t="shared" ref="D356" si="940">SUM(D354:D355)</f>
        <v>28.479000000401989</v>
      </c>
      <c r="E356" s="300">
        <f t="shared" si="934"/>
        <v>453.54999999592741</v>
      </c>
      <c r="F356" s="300"/>
      <c r="G356" s="300">
        <f>SUM(G354:G355)</f>
        <v>357.81999999541824</v>
      </c>
      <c r="H356" s="300">
        <f t="shared" ref="H356" si="941">SUM(H354:H355)</f>
        <v>63.142000000400074</v>
      </c>
      <c r="I356" s="300">
        <f t="shared" ref="I356" si="942">SUM(I354:I355)</f>
        <v>21.803000000020589</v>
      </c>
      <c r="J356" s="300">
        <f t="shared" si="935"/>
        <v>442.76499999583888</v>
      </c>
      <c r="K356" s="300"/>
      <c r="L356" s="300">
        <f>SUM(L354:L355)</f>
        <v>358.36999999832756</v>
      </c>
      <c r="M356" s="300">
        <f t="shared" ref="M356" si="943">SUM(M354:M355)</f>
        <v>67.123000000239728</v>
      </c>
      <c r="N356" s="300">
        <f t="shared" ref="N356" si="944">SUM(N354:N355)</f>
        <v>11.672000000140198</v>
      </c>
      <c r="O356" s="300">
        <f t="shared" si="936"/>
        <v>437.16499999870746</v>
      </c>
      <c r="P356" s="300"/>
      <c r="Q356" s="300">
        <f>SUM(Q354:Q355)</f>
        <v>359.3820000048396</v>
      </c>
      <c r="R356" s="300">
        <f t="shared" ref="R356" si="945">SUM(R354:R355)</f>
        <v>66.78800000056664</v>
      </c>
      <c r="S356" s="300">
        <f t="shared" ref="S356" si="946">SUM(S354:S355)</f>
        <v>10.967000000440837</v>
      </c>
      <c r="T356" s="300">
        <f t="shared" si="937"/>
        <v>437.13700000584709</v>
      </c>
      <c r="U356" s="300"/>
      <c r="V356" s="300">
        <f>SUM(V354:V355)</f>
        <v>351.98700000185045</v>
      </c>
      <c r="W356" s="300">
        <f t="shared" ref="W356" si="947">SUM(W354:W355)</f>
        <v>64.939999999852986</v>
      </c>
      <c r="X356" s="300">
        <f t="shared" ref="X356" si="948">SUM(X354:X355)</f>
        <v>10.718000000322043</v>
      </c>
      <c r="Y356" s="300">
        <f t="shared" si="938"/>
        <v>427.64500000202548</v>
      </c>
    </row>
    <row r="357" spans="1:25" ht="12.45" x14ac:dyDescent="0.3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ht="12.45" x14ac:dyDescent="0.3">
      <c r="A358" s="261" t="str">
        <f>name!A51</f>
        <v>Insurance and pensions</v>
      </c>
      <c r="C358" s="263"/>
    </row>
    <row r="359" spans="1:25" ht="12.45" x14ac:dyDescent="0.3">
      <c r="A359" s="260" t="s">
        <v>356</v>
      </c>
      <c r="B359" s="300">
        <v>48.454999999543929</v>
      </c>
      <c r="C359" s="300">
        <v>9.3270000000418882</v>
      </c>
      <c r="D359" s="300">
        <v>0.21600000000125047</v>
      </c>
      <c r="E359" s="300">
        <f>SUM(B359:D359)</f>
        <v>57.997999999587073</v>
      </c>
      <c r="F359" s="300"/>
      <c r="G359" s="300">
        <v>58.070999999191557</v>
      </c>
      <c r="H359" s="300">
        <v>8.6450000000440674</v>
      </c>
      <c r="I359" s="300">
        <v>0.26600000000063623</v>
      </c>
      <c r="J359" s="300">
        <f>SUM(G359:I359)</f>
        <v>66.981999999236251</v>
      </c>
      <c r="K359" s="300"/>
      <c r="L359" s="300">
        <v>58.512999999530543</v>
      </c>
      <c r="M359" s="300">
        <v>8.7640000000367344</v>
      </c>
      <c r="N359" s="300">
        <v>0.56799999999375383</v>
      </c>
      <c r="O359" s="300">
        <f>SUM(L359:N359)</f>
        <v>67.84499999956104</v>
      </c>
      <c r="P359" s="300"/>
      <c r="Q359" s="300">
        <v>58.093000001307757</v>
      </c>
      <c r="R359" s="300">
        <v>8.5930000000923208</v>
      </c>
      <c r="S359" s="300">
        <v>0.4729999999990967</v>
      </c>
      <c r="T359" s="300">
        <f>SUM(Q359:S359)</f>
        <v>67.159000001399178</v>
      </c>
      <c r="U359" s="300"/>
      <c r="V359" s="300">
        <v>56.019000000274211</v>
      </c>
      <c r="W359" s="300">
        <v>8.1500000000030592</v>
      </c>
      <c r="X359" s="300">
        <v>0.35200000000103249</v>
      </c>
      <c r="Y359" s="300">
        <f>SUM(V359:X359)</f>
        <v>64.521000000278292</v>
      </c>
    </row>
    <row r="360" spans="1:25" ht="12.45" x14ac:dyDescent="0.3">
      <c r="A360" s="260" t="s">
        <v>355</v>
      </c>
      <c r="B360" s="300">
        <v>40.410999999496752</v>
      </c>
      <c r="C360" s="300">
        <v>1.5760000000097913</v>
      </c>
      <c r="D360" s="300">
        <v>5.8750000000621965</v>
      </c>
      <c r="E360" s="300">
        <f t="shared" ref="E360:E361" si="949">SUM(B360:D360)</f>
        <v>47.861999999568738</v>
      </c>
      <c r="F360" s="300"/>
      <c r="G360" s="300">
        <v>46.030999999633103</v>
      </c>
      <c r="H360" s="300">
        <v>1.4160000000077408</v>
      </c>
      <c r="I360" s="300">
        <v>4.8300000000109549</v>
      </c>
      <c r="J360" s="300">
        <f t="shared" ref="J360:J361" si="950">SUM(G360:I360)</f>
        <v>52.2769999996518</v>
      </c>
      <c r="K360" s="300"/>
      <c r="L360" s="300">
        <v>46.218999999787634</v>
      </c>
      <c r="M360" s="300">
        <v>1.7299999999986742</v>
      </c>
      <c r="N360" s="300">
        <v>2.5700000000266461</v>
      </c>
      <c r="O360" s="300">
        <f t="shared" ref="O360:O361" si="951">SUM(L360:N360)</f>
        <v>50.518999999812955</v>
      </c>
      <c r="P360" s="300"/>
      <c r="Q360" s="300">
        <v>45.983000000042942</v>
      </c>
      <c r="R360" s="300">
        <v>1.7919999999985292</v>
      </c>
      <c r="S360" s="300">
        <v>2.2570000000645365</v>
      </c>
      <c r="T360" s="300">
        <f t="shared" ref="T360:T361" si="952">SUM(Q360:S360)</f>
        <v>50.032000000106009</v>
      </c>
      <c r="U360" s="300"/>
      <c r="V360" s="300">
        <v>44.203999999899764</v>
      </c>
      <c r="W360" s="300">
        <v>1.8390000000006375</v>
      </c>
      <c r="X360" s="300">
        <v>1.7790000000290622</v>
      </c>
      <c r="Y360" s="300">
        <f t="shared" ref="Y360:Y361" si="953">SUM(V360:X360)</f>
        <v>47.821999999929467</v>
      </c>
    </row>
    <row r="361" spans="1:25" ht="12.45" x14ac:dyDescent="0.3">
      <c r="A361" s="260" t="s">
        <v>354</v>
      </c>
      <c r="B361" s="300">
        <f>SUM(B359:B360)</f>
        <v>88.865999999040682</v>
      </c>
      <c r="C361" s="300">
        <f t="shared" ref="C361" si="954">SUM(C359:C360)</f>
        <v>10.90300000005168</v>
      </c>
      <c r="D361" s="300">
        <f t="shared" ref="D361" si="955">SUM(D359:D360)</f>
        <v>6.0910000000634472</v>
      </c>
      <c r="E361" s="300">
        <f t="shared" si="949"/>
        <v>105.8599999991558</v>
      </c>
      <c r="F361" s="300"/>
      <c r="G361" s="300">
        <f>SUM(G359:G360)</f>
        <v>104.10199999882465</v>
      </c>
      <c r="H361" s="300">
        <f t="shared" ref="H361" si="956">SUM(H359:H360)</f>
        <v>10.061000000051809</v>
      </c>
      <c r="I361" s="300">
        <f t="shared" ref="I361" si="957">SUM(I359:I360)</f>
        <v>5.0960000000115908</v>
      </c>
      <c r="J361" s="300">
        <f t="shared" si="950"/>
        <v>119.25899999888804</v>
      </c>
      <c r="K361" s="300"/>
      <c r="L361" s="300">
        <f>SUM(L359:L360)</f>
        <v>104.73199999931818</v>
      </c>
      <c r="M361" s="300">
        <f t="shared" ref="M361" si="958">SUM(M359:M360)</f>
        <v>10.494000000035408</v>
      </c>
      <c r="N361" s="300">
        <f t="shared" ref="N361" si="959">SUM(N359:N360)</f>
        <v>3.1380000000204</v>
      </c>
      <c r="O361" s="300">
        <f t="shared" si="951"/>
        <v>118.36399999937399</v>
      </c>
      <c r="P361" s="300"/>
      <c r="Q361" s="300">
        <f>SUM(Q359:Q360)</f>
        <v>104.07600000135071</v>
      </c>
      <c r="R361" s="300">
        <f t="shared" ref="R361" si="960">SUM(R359:R360)</f>
        <v>10.38500000009085</v>
      </c>
      <c r="S361" s="300">
        <f t="shared" ref="S361" si="961">SUM(S359:S360)</f>
        <v>2.7300000000636331</v>
      </c>
      <c r="T361" s="300">
        <f t="shared" si="952"/>
        <v>117.19100000150519</v>
      </c>
      <c r="U361" s="300"/>
      <c r="V361" s="300">
        <f>SUM(V359:V360)</f>
        <v>100.22300000017398</v>
      </c>
      <c r="W361" s="300">
        <f t="shared" ref="W361" si="962">SUM(W359:W360)</f>
        <v>9.9890000000036974</v>
      </c>
      <c r="X361" s="300">
        <f t="shared" ref="X361" si="963">SUM(X359:X360)</f>
        <v>2.1310000000300948</v>
      </c>
      <c r="Y361" s="300">
        <f t="shared" si="953"/>
        <v>112.34300000020778</v>
      </c>
    </row>
    <row r="362" spans="1:25" ht="12.45" x14ac:dyDescent="0.3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ht="12.45" x14ac:dyDescent="0.3">
      <c r="A363" s="261" t="str">
        <f>name!A52</f>
        <v>Auxiliary financial services</v>
      </c>
      <c r="C363" s="263"/>
    </row>
    <row r="364" spans="1:25" ht="12.45" x14ac:dyDescent="0.3">
      <c r="A364" s="260" t="s">
        <v>356</v>
      </c>
      <c r="B364" s="300">
        <v>137.70499999842355</v>
      </c>
      <c r="C364" s="300">
        <v>37.815000000136557</v>
      </c>
      <c r="D364" s="300">
        <v>12.922000000143106</v>
      </c>
      <c r="E364" s="300">
        <f>SUM(B364:D364)</f>
        <v>188.44199999870321</v>
      </c>
      <c r="F364" s="300"/>
      <c r="G364" s="300">
        <v>145.53199999759073</v>
      </c>
      <c r="H364" s="300">
        <v>36.845000000160013</v>
      </c>
      <c r="I364" s="300">
        <v>18.081000000189359</v>
      </c>
      <c r="J364" s="300">
        <f>SUM(G364:I364)</f>
        <v>200.45799999794011</v>
      </c>
      <c r="K364" s="300"/>
      <c r="L364" s="300">
        <v>148.13299999870779</v>
      </c>
      <c r="M364" s="300">
        <v>38.002000000116261</v>
      </c>
      <c r="N364" s="300">
        <v>14.141999999814246</v>
      </c>
      <c r="O364" s="300">
        <f>SUM(L364:N364)</f>
        <v>200.2769999986383</v>
      </c>
      <c r="P364" s="300"/>
      <c r="Q364" s="300">
        <v>147.44500000387148</v>
      </c>
      <c r="R364" s="300">
        <v>37.328000000301863</v>
      </c>
      <c r="S364" s="300">
        <v>14.944999999964875</v>
      </c>
      <c r="T364" s="300">
        <f>SUM(Q364:S364)</f>
        <v>199.71800000413822</v>
      </c>
      <c r="U364" s="300"/>
      <c r="V364" s="300">
        <v>142.76200000075829</v>
      </c>
      <c r="W364" s="300">
        <v>35.605999999981655</v>
      </c>
      <c r="X364" s="300">
        <v>14.538000000008585</v>
      </c>
      <c r="Y364" s="300">
        <f>SUM(V364:X364)</f>
        <v>192.90600000074855</v>
      </c>
    </row>
    <row r="365" spans="1:25" ht="12.45" x14ac:dyDescent="0.3">
      <c r="A365" s="260" t="s">
        <v>355</v>
      </c>
      <c r="B365" s="300">
        <v>194.17799999679926</v>
      </c>
      <c r="C365" s="300">
        <v>6.4809999999995842</v>
      </c>
      <c r="D365" s="300">
        <v>25.75900000031163</v>
      </c>
      <c r="E365" s="300">
        <f t="shared" ref="E365:E366" si="964">SUM(B365:D365)</f>
        <v>226.41799999711048</v>
      </c>
      <c r="F365" s="300"/>
      <c r="G365" s="300">
        <v>207.87499999735937</v>
      </c>
      <c r="H365" s="300">
        <v>6.7380000000171796</v>
      </c>
      <c r="I365" s="300">
        <v>21.218999999905979</v>
      </c>
      <c r="J365" s="300">
        <f t="shared" ref="J365:J366" si="965">SUM(G365:I365)</f>
        <v>235.83199999728251</v>
      </c>
      <c r="K365" s="300"/>
      <c r="L365" s="300">
        <v>207.21899999969972</v>
      </c>
      <c r="M365" s="300">
        <v>8.1569999999845209</v>
      </c>
      <c r="N365" s="300">
        <v>33.984000000688077</v>
      </c>
      <c r="O365" s="300">
        <f t="shared" ref="O365:O366" si="966">SUM(L365:N365)</f>
        <v>249.36000000037231</v>
      </c>
      <c r="P365" s="300"/>
      <c r="Q365" s="300">
        <v>207.44900000090922</v>
      </c>
      <c r="R365" s="300">
        <v>8.4689999999751944</v>
      </c>
      <c r="S365" s="300">
        <v>36.865000001950548</v>
      </c>
      <c r="T365" s="300">
        <f t="shared" ref="T365:T366" si="967">SUM(Q365:S365)</f>
        <v>252.78300000283497</v>
      </c>
      <c r="U365" s="300"/>
      <c r="V365" s="300">
        <v>202.47800000058515</v>
      </c>
      <c r="W365" s="300">
        <v>8.7499999999516103</v>
      </c>
      <c r="X365" s="300">
        <v>37.659000001468513</v>
      </c>
      <c r="Y365" s="300">
        <f t="shared" ref="Y365:Y366" si="968">SUM(V365:X365)</f>
        <v>248.88700000200527</v>
      </c>
    </row>
    <row r="366" spans="1:25" ht="12.45" x14ac:dyDescent="0.3">
      <c r="A366" s="260" t="s">
        <v>354</v>
      </c>
      <c r="B366" s="300">
        <f>SUM(B364:B365)</f>
        <v>331.8829999952228</v>
      </c>
      <c r="C366" s="300">
        <f t="shared" ref="C366" si="969">SUM(C364:C365)</f>
        <v>44.296000000136139</v>
      </c>
      <c r="D366" s="300">
        <f t="shared" ref="D366" si="970">SUM(D364:D365)</f>
        <v>38.681000000454738</v>
      </c>
      <c r="E366" s="300">
        <f t="shared" si="964"/>
        <v>414.85999999581367</v>
      </c>
      <c r="F366" s="300"/>
      <c r="G366" s="300">
        <f>SUM(G364:G365)</f>
        <v>353.40699999495007</v>
      </c>
      <c r="H366" s="300">
        <f t="shared" ref="H366" si="971">SUM(H364:H365)</f>
        <v>43.583000000177194</v>
      </c>
      <c r="I366" s="300">
        <f t="shared" ref="I366" si="972">SUM(I364:I365)</f>
        <v>39.300000000095338</v>
      </c>
      <c r="J366" s="300">
        <f t="shared" si="965"/>
        <v>436.28999999522262</v>
      </c>
      <c r="K366" s="300"/>
      <c r="L366" s="300">
        <f>SUM(L364:L365)</f>
        <v>355.35199999840751</v>
      </c>
      <c r="M366" s="300">
        <f t="shared" ref="M366" si="973">SUM(M364:M365)</f>
        <v>46.159000000100782</v>
      </c>
      <c r="N366" s="300">
        <f t="shared" ref="N366" si="974">SUM(N364:N365)</f>
        <v>48.126000000502323</v>
      </c>
      <c r="O366" s="300">
        <f t="shared" si="966"/>
        <v>449.63699999901058</v>
      </c>
      <c r="P366" s="300"/>
      <c r="Q366" s="300">
        <f>SUM(Q364:Q365)</f>
        <v>354.89400000478071</v>
      </c>
      <c r="R366" s="300">
        <f t="shared" ref="R366" si="975">SUM(R364:R365)</f>
        <v>45.797000000277059</v>
      </c>
      <c r="S366" s="300">
        <f t="shared" ref="S366" si="976">SUM(S364:S365)</f>
        <v>51.810000001915427</v>
      </c>
      <c r="T366" s="300">
        <f t="shared" si="967"/>
        <v>452.50100000697319</v>
      </c>
      <c r="U366" s="300"/>
      <c r="V366" s="300">
        <f>SUM(V364:V365)</f>
        <v>345.24000000134345</v>
      </c>
      <c r="W366" s="300">
        <f t="shared" ref="W366" si="977">SUM(W364:W365)</f>
        <v>44.355999999933267</v>
      </c>
      <c r="X366" s="300">
        <f t="shared" ref="X366" si="978">SUM(X364:X365)</f>
        <v>52.1970000014771</v>
      </c>
      <c r="Y366" s="300">
        <f t="shared" si="968"/>
        <v>441.79300000275379</v>
      </c>
    </row>
    <row r="367" spans="1:25" ht="12.45" x14ac:dyDescent="0.3">
      <c r="C367" s="263"/>
    </row>
    <row r="368" spans="1:25" ht="12.45" x14ac:dyDescent="0.3">
      <c r="A368" s="261" t="s">
        <v>362</v>
      </c>
      <c r="C368" s="263"/>
    </row>
    <row r="369" spans="1:25" ht="12.45" x14ac:dyDescent="0.3">
      <c r="A369" s="260" t="s">
        <v>356</v>
      </c>
      <c r="B369" s="300">
        <f>SUM(B354,B359,B364)</f>
        <v>321.73999999651471</v>
      </c>
      <c r="C369" s="300">
        <f t="shared" ref="C369:D369" si="979">SUM(C354,C359,C364)</f>
        <v>112.02800000052642</v>
      </c>
      <c r="D369" s="300">
        <f t="shared" si="979"/>
        <v>17.537000000249947</v>
      </c>
      <c r="E369" s="300">
        <f>SUM(B369:D369)</f>
        <v>451.30499999729102</v>
      </c>
      <c r="F369" s="300"/>
      <c r="G369" s="300">
        <f>SUM(G354,G359,G364)</f>
        <v>339.10699999474809</v>
      </c>
      <c r="H369" s="300">
        <f t="shared" ref="H369:I369" si="980">SUM(H354,H359,H364)</f>
        <v>100.36900000057776</v>
      </c>
      <c r="I369" s="300">
        <f t="shared" si="980"/>
        <v>20.060000000225337</v>
      </c>
      <c r="J369" s="300">
        <f>SUM(G369:I369)</f>
        <v>459.53599999555121</v>
      </c>
      <c r="K369" s="300"/>
      <c r="L369" s="300">
        <f>SUM(L354,L359,L364)</f>
        <v>344.69299999686837</v>
      </c>
      <c r="M369" s="300">
        <f t="shared" ref="M369:N369" si="981">SUM(M354,M359,M364)</f>
        <v>104.17400000041144</v>
      </c>
      <c r="N369" s="300">
        <f t="shared" si="981"/>
        <v>17.135999999754375</v>
      </c>
      <c r="O369" s="300">
        <f>SUM(L369:N369)</f>
        <v>466.00299999703418</v>
      </c>
      <c r="P369" s="300"/>
      <c r="Q369" s="300">
        <f>SUM(Q354,Q359,Q364)</f>
        <v>343.37000000876151</v>
      </c>
      <c r="R369" s="300">
        <f t="shared" ref="R369:S369" si="982">SUM(R354,R359,R364)</f>
        <v>102.5590000009976</v>
      </c>
      <c r="S369" s="300">
        <f t="shared" si="982"/>
        <v>17.645999999949989</v>
      </c>
      <c r="T369" s="300">
        <f>SUM(Q369:S369)</f>
        <v>463.57500000970907</v>
      </c>
      <c r="U369" s="300"/>
      <c r="V369" s="300">
        <f>SUM(V354,V359,V364)</f>
        <v>332.91000000168776</v>
      </c>
      <c r="W369" s="300">
        <f t="shared" ref="W369:X369" si="983">SUM(W354,W359,W364)</f>
        <v>98.092999999896335</v>
      </c>
      <c r="X369" s="300">
        <f t="shared" si="983"/>
        <v>17.037000000005946</v>
      </c>
      <c r="Y369" s="300">
        <f>SUM(V369:X369)</f>
        <v>448.04000000159004</v>
      </c>
    </row>
    <row r="370" spans="1:25" ht="12.45" x14ac:dyDescent="0.3">
      <c r="A370" s="260" t="s">
        <v>355</v>
      </c>
      <c r="B370" s="300">
        <f>SUM(B355,B360,B365)</f>
        <v>450.40299999292091</v>
      </c>
      <c r="C370" s="300">
        <f t="shared" ref="C370:D370" si="984">SUM(C355,C360,C365)</f>
        <v>16.848000000014707</v>
      </c>
      <c r="D370" s="300">
        <f t="shared" si="984"/>
        <v>55.714000000670225</v>
      </c>
      <c r="E370" s="300">
        <f t="shared" ref="E370:E371" si="985">SUM(B370:D370)</f>
        <v>522.96499999360583</v>
      </c>
      <c r="F370" s="300"/>
      <c r="G370" s="300">
        <f>SUM(G355,G360,G365)</f>
        <v>476.2219999944449</v>
      </c>
      <c r="H370" s="300">
        <f t="shared" ref="H370:I370" si="986">SUM(H355,H360,H365)</f>
        <v>16.417000000051317</v>
      </c>
      <c r="I370" s="300">
        <f t="shared" si="986"/>
        <v>46.138999999902182</v>
      </c>
      <c r="J370" s="300">
        <f t="shared" ref="J370:J371" si="987">SUM(G370:I370)</f>
        <v>538.77799999439844</v>
      </c>
      <c r="K370" s="300"/>
      <c r="L370" s="300">
        <f>SUM(L355,L360,L365)</f>
        <v>473.76099999918495</v>
      </c>
      <c r="M370" s="300">
        <f t="shared" ref="M370:N370" si="988">SUM(M355,M360,M365)</f>
        <v>19.601999999964473</v>
      </c>
      <c r="N370" s="300">
        <f t="shared" si="988"/>
        <v>45.800000000908547</v>
      </c>
      <c r="O370" s="300">
        <f t="shared" ref="O370:O371" si="989">SUM(L370:N370)</f>
        <v>539.16300000005799</v>
      </c>
      <c r="P370" s="300"/>
      <c r="Q370" s="300">
        <f>SUM(Q355,Q360,Q365)</f>
        <v>474.98200000220953</v>
      </c>
      <c r="R370" s="300">
        <f t="shared" ref="R370:S370" si="990">SUM(R355,R360,R365)</f>
        <v>20.410999999936941</v>
      </c>
      <c r="S370" s="300">
        <f t="shared" si="990"/>
        <v>47.861000002469908</v>
      </c>
      <c r="T370" s="300">
        <f t="shared" ref="T370:T371" si="991">SUM(Q370:S370)</f>
        <v>543.25400000461639</v>
      </c>
      <c r="U370" s="300"/>
      <c r="V370" s="300">
        <f>SUM(V355,V360,V365)</f>
        <v>464.54000000168014</v>
      </c>
      <c r="W370" s="300">
        <f t="shared" ref="W370:X370" si="992">SUM(W355,W360,W365)</f>
        <v>21.191999999893628</v>
      </c>
      <c r="X370" s="300">
        <f t="shared" si="992"/>
        <v>48.009000001823289</v>
      </c>
      <c r="Y370" s="300">
        <f t="shared" ref="Y370:Y371" si="993">SUM(V370:X370)</f>
        <v>533.74100000339706</v>
      </c>
    </row>
    <row r="371" spans="1:25" ht="12.45" x14ac:dyDescent="0.3">
      <c r="A371" s="264" t="s">
        <v>354</v>
      </c>
      <c r="B371" s="301">
        <f>SUM(B369:B370)</f>
        <v>772.14299998943557</v>
      </c>
      <c r="C371" s="301">
        <f t="shared" ref="C371" si="994">SUM(C369:C370)</f>
        <v>128.87600000054113</v>
      </c>
      <c r="D371" s="301">
        <f t="shared" ref="D371" si="995">SUM(D369:D370)</f>
        <v>73.251000000920172</v>
      </c>
      <c r="E371" s="301">
        <f t="shared" si="985"/>
        <v>974.26999999089685</v>
      </c>
      <c r="F371" s="301"/>
      <c r="G371" s="301">
        <f>SUM(G369:G370)</f>
        <v>815.32899998919299</v>
      </c>
      <c r="H371" s="301">
        <f t="shared" ref="H371" si="996">SUM(H369:H370)</f>
        <v>116.78600000062907</v>
      </c>
      <c r="I371" s="301">
        <f t="shared" ref="I371" si="997">SUM(I369:I370)</f>
        <v>66.199000000127512</v>
      </c>
      <c r="J371" s="301">
        <f t="shared" si="987"/>
        <v>998.31399998994959</v>
      </c>
      <c r="K371" s="301"/>
      <c r="L371" s="301">
        <f>SUM(L369:L370)</f>
        <v>818.45399999605331</v>
      </c>
      <c r="M371" s="301">
        <f t="shared" ref="M371" si="998">SUM(M369:M370)</f>
        <v>123.77600000037592</v>
      </c>
      <c r="N371" s="301">
        <f t="shared" ref="N371" si="999">SUM(N369:N370)</f>
        <v>62.936000000662922</v>
      </c>
      <c r="O371" s="301">
        <f t="shared" si="989"/>
        <v>1005.1659999970922</v>
      </c>
      <c r="P371" s="301"/>
      <c r="Q371" s="301">
        <f>SUM(Q369:Q370)</f>
        <v>818.3520000109711</v>
      </c>
      <c r="R371" s="301">
        <f t="shared" ref="R371" si="1000">SUM(R369:R370)</f>
        <v>122.97000000093453</v>
      </c>
      <c r="S371" s="301">
        <f t="shared" ref="S371" si="1001">SUM(S369:S370)</f>
        <v>65.5070000024199</v>
      </c>
      <c r="T371" s="301">
        <f t="shared" si="991"/>
        <v>1006.8290000143255</v>
      </c>
      <c r="U371" s="301"/>
      <c r="V371" s="301">
        <f>SUM(V369:V370)</f>
        <v>797.4500000033679</v>
      </c>
      <c r="W371" s="301">
        <f t="shared" ref="W371" si="1002">SUM(W369:W370)</f>
        <v>119.28499999978996</v>
      </c>
      <c r="X371" s="301">
        <f t="shared" ref="X371" si="1003">SUM(X369:X370)</f>
        <v>65.046000001829242</v>
      </c>
      <c r="Y371" s="301">
        <f t="shared" si="993"/>
        <v>981.78100000498716</v>
      </c>
    </row>
    <row r="375" spans="1:25" ht="14.15" x14ac:dyDescent="0.35">
      <c r="A375" s="265" t="str">
        <f>"Industry 15 : "&amp; name!B18</f>
        <v>Industry 15 : Real estate</v>
      </c>
      <c r="B375" s="372">
        <f>$B$5</f>
        <v>2015</v>
      </c>
      <c r="C375" s="372"/>
      <c r="D375" s="372"/>
      <c r="E375" s="372"/>
      <c r="F375" s="320"/>
      <c r="G375" s="372">
        <f>$G$5</f>
        <v>2019</v>
      </c>
      <c r="H375" s="372"/>
      <c r="I375" s="372"/>
      <c r="J375" s="372"/>
      <c r="K375" s="320"/>
      <c r="L375" s="372">
        <f>$L$5</f>
        <v>2020</v>
      </c>
      <c r="M375" s="372"/>
      <c r="N375" s="372"/>
      <c r="O375" s="372"/>
      <c r="P375" s="318"/>
      <c r="Q375" s="372">
        <f>$Q$5</f>
        <v>2025</v>
      </c>
      <c r="R375" s="372"/>
      <c r="S375" s="372"/>
      <c r="T375" s="372"/>
      <c r="U375" s="320"/>
      <c r="V375" s="372">
        <f>$V$5</f>
        <v>2035</v>
      </c>
      <c r="W375" s="372"/>
      <c r="X375" s="372"/>
      <c r="Y375" s="372"/>
    </row>
    <row r="376" spans="1:25" ht="12.45" x14ac:dyDescent="0.3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ht="12.45" x14ac:dyDescent="0.3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ht="12.45" x14ac:dyDescent="0.3">
      <c r="A378" s="261" t="str">
        <f>name!A53</f>
        <v>Real estate</v>
      </c>
      <c r="C378" s="263"/>
    </row>
    <row r="379" spans="1:25" ht="12.45" x14ac:dyDescent="0.3">
      <c r="A379" s="260" t="s">
        <v>356</v>
      </c>
      <c r="B379" s="300">
        <v>151.3819999990356</v>
      </c>
      <c r="C379" s="300">
        <v>91.162000000787316</v>
      </c>
      <c r="D379" s="300">
        <v>27.338000000391421</v>
      </c>
      <c r="E379" s="300">
        <f>SUM(B379:D379)</f>
        <v>269.88200000021436</v>
      </c>
      <c r="F379" s="300"/>
      <c r="G379" s="300">
        <v>157.48199999865653</v>
      </c>
      <c r="H379" s="300">
        <v>81.991000000788475</v>
      </c>
      <c r="I379" s="300">
        <v>35.784000000389312</v>
      </c>
      <c r="J379" s="300">
        <f>SUM(G379:I379)</f>
        <v>275.25699999983431</v>
      </c>
      <c r="K379" s="300"/>
      <c r="L379" s="300">
        <v>176.03199999879192</v>
      </c>
      <c r="M379" s="300">
        <v>88.702000000484489</v>
      </c>
      <c r="N379" s="300">
        <v>28.255999999421611</v>
      </c>
      <c r="O379" s="300">
        <f>SUM(L379:N379)</f>
        <v>292.98999999869801</v>
      </c>
      <c r="P379" s="300"/>
      <c r="Q379" s="300">
        <v>174.85000000326275</v>
      </c>
      <c r="R379" s="300">
        <v>82.085000001023317</v>
      </c>
      <c r="S379" s="300">
        <v>27.230999999859524</v>
      </c>
      <c r="T379" s="300">
        <f>SUM(Q379:S379)</f>
        <v>284.16600000414559</v>
      </c>
      <c r="U379" s="300"/>
      <c r="V379" s="300">
        <v>200.41399999974331</v>
      </c>
      <c r="W379" s="300">
        <v>81.102999999735857</v>
      </c>
      <c r="X379" s="300">
        <v>29.565000000009778</v>
      </c>
      <c r="Y379" s="300">
        <f>SUM(V379:X379)</f>
        <v>311.08199999948891</v>
      </c>
    </row>
    <row r="380" spans="1:25" ht="12.45" x14ac:dyDescent="0.3">
      <c r="A380" s="260" t="s">
        <v>355</v>
      </c>
      <c r="B380" s="300">
        <v>162.51599999822508</v>
      </c>
      <c r="C380" s="300">
        <v>22.851999999853426</v>
      </c>
      <c r="D380" s="300">
        <v>44.459000000125734</v>
      </c>
      <c r="E380" s="300">
        <f t="shared" ref="E380:E381" si="1004">SUM(B380:D380)</f>
        <v>229.82699999820426</v>
      </c>
      <c r="F380" s="300"/>
      <c r="G380" s="300">
        <v>167.88499999878616</v>
      </c>
      <c r="H380" s="300">
        <v>31.816999999906106</v>
      </c>
      <c r="I380" s="300">
        <v>37.281000000365694</v>
      </c>
      <c r="J380" s="300">
        <f t="shared" ref="J380:J381" si="1005">SUM(G380:I380)</f>
        <v>236.98299999905794</v>
      </c>
      <c r="K380" s="300"/>
      <c r="L380" s="300">
        <v>202.93399999950125</v>
      </c>
      <c r="M380" s="300">
        <v>34.660999999962776</v>
      </c>
      <c r="N380" s="300">
        <v>35.50000000007828</v>
      </c>
      <c r="O380" s="300">
        <f t="shared" ref="O380:O381" si="1006">SUM(L380:N380)</f>
        <v>273.09499999954232</v>
      </c>
      <c r="P380" s="300"/>
      <c r="Q380" s="300">
        <v>194.59200000045578</v>
      </c>
      <c r="R380" s="300">
        <v>33.659000000043768</v>
      </c>
      <c r="S380" s="300">
        <v>35.632000000127704</v>
      </c>
      <c r="T380" s="300">
        <f t="shared" ref="T380:T381" si="1007">SUM(Q380:S380)</f>
        <v>263.88300000062725</v>
      </c>
      <c r="U380" s="300"/>
      <c r="V380" s="300">
        <v>208.28700000031532</v>
      </c>
      <c r="W380" s="300">
        <v>37.038999999979382</v>
      </c>
      <c r="X380" s="300">
        <v>41.456000000134118</v>
      </c>
      <c r="Y380" s="300">
        <f t="shared" ref="Y380:Y381" si="1008">SUM(V380:X380)</f>
        <v>286.78200000042881</v>
      </c>
    </row>
    <row r="381" spans="1:25" ht="12.45" x14ac:dyDescent="0.3">
      <c r="A381" s="264" t="s">
        <v>354</v>
      </c>
      <c r="B381" s="301">
        <f>SUM(B379:B380)</f>
        <v>313.89799999726068</v>
      </c>
      <c r="C381" s="301">
        <f t="shared" ref="C381" si="1009">SUM(C379:C380)</f>
        <v>114.01400000064075</v>
      </c>
      <c r="D381" s="301">
        <f t="shared" ref="D381" si="1010">SUM(D379:D380)</f>
        <v>71.797000000517158</v>
      </c>
      <c r="E381" s="301">
        <f t="shared" si="1004"/>
        <v>499.70899999841856</v>
      </c>
      <c r="F381" s="301"/>
      <c r="G381" s="301">
        <f>SUM(G379:G380)</f>
        <v>325.36699999744269</v>
      </c>
      <c r="H381" s="301">
        <f t="shared" ref="H381" si="1011">SUM(H379:H380)</f>
        <v>113.80800000069458</v>
      </c>
      <c r="I381" s="301">
        <f t="shared" ref="I381" si="1012">SUM(I379:I380)</f>
        <v>73.065000000755006</v>
      </c>
      <c r="J381" s="301">
        <f t="shared" si="1005"/>
        <v>512.23999999889224</v>
      </c>
      <c r="K381" s="301"/>
      <c r="L381" s="301">
        <f>SUM(L379:L380)</f>
        <v>378.96599999829317</v>
      </c>
      <c r="M381" s="301">
        <f t="shared" ref="M381" si="1013">SUM(M379:M380)</f>
        <v>123.36300000044727</v>
      </c>
      <c r="N381" s="301">
        <f t="shared" ref="N381" si="1014">SUM(N379:N380)</f>
        <v>63.755999999499892</v>
      </c>
      <c r="O381" s="301">
        <f t="shared" si="1006"/>
        <v>566.08499999824028</v>
      </c>
      <c r="P381" s="301"/>
      <c r="Q381" s="301">
        <f>SUM(Q379:Q380)</f>
        <v>369.44200000371853</v>
      </c>
      <c r="R381" s="301">
        <f t="shared" ref="R381" si="1015">SUM(R379:R380)</f>
        <v>115.74400000106709</v>
      </c>
      <c r="S381" s="301">
        <f t="shared" ref="S381" si="1016">SUM(S379:S380)</f>
        <v>62.862999999987224</v>
      </c>
      <c r="T381" s="301">
        <f t="shared" si="1007"/>
        <v>548.04900000477289</v>
      </c>
      <c r="U381" s="301"/>
      <c r="V381" s="301">
        <f>SUM(V379:V380)</f>
        <v>408.70100000005863</v>
      </c>
      <c r="W381" s="301">
        <f t="shared" ref="W381" si="1017">SUM(W379:W380)</f>
        <v>118.14199999971524</v>
      </c>
      <c r="X381" s="301">
        <f t="shared" ref="X381" si="1018">SUM(X379:X380)</f>
        <v>71.0210000001439</v>
      </c>
      <c r="Y381" s="301">
        <f t="shared" si="1008"/>
        <v>597.86399999991772</v>
      </c>
    </row>
    <row r="382" spans="1:25" ht="12.45" x14ac:dyDescent="0.3">
      <c r="C382" s="263"/>
    </row>
    <row r="383" spans="1:25" x14ac:dyDescent="0.35">
      <c r="A383" s="261"/>
    </row>
    <row r="384" spans="1:25" ht="12.45" x14ac:dyDescent="0.3">
      <c r="C384" s="263"/>
    </row>
    <row r="385" spans="1:25" ht="14.15" x14ac:dyDescent="0.35">
      <c r="A385" s="265" t="str">
        <f>"Industry 16 : "&amp; name!B19</f>
        <v>Industry 16 : Professional services</v>
      </c>
      <c r="B385" s="372">
        <f>$B$5</f>
        <v>2015</v>
      </c>
      <c r="C385" s="372"/>
      <c r="D385" s="372"/>
      <c r="E385" s="372"/>
      <c r="F385" s="320"/>
      <c r="G385" s="372">
        <f>$G$5</f>
        <v>2019</v>
      </c>
      <c r="H385" s="372"/>
      <c r="I385" s="372"/>
      <c r="J385" s="372"/>
      <c r="K385" s="320"/>
      <c r="L385" s="372">
        <f>$L$5</f>
        <v>2020</v>
      </c>
      <c r="M385" s="372"/>
      <c r="N385" s="372"/>
      <c r="O385" s="372"/>
      <c r="P385" s="318"/>
      <c r="Q385" s="372">
        <f>$Q$5</f>
        <v>2025</v>
      </c>
      <c r="R385" s="372"/>
      <c r="S385" s="372"/>
      <c r="T385" s="372"/>
      <c r="U385" s="320"/>
      <c r="V385" s="372">
        <f>$V$5</f>
        <v>2035</v>
      </c>
      <c r="W385" s="372"/>
      <c r="X385" s="372"/>
      <c r="Y385" s="372"/>
    </row>
    <row r="386" spans="1:25" ht="12.45" x14ac:dyDescent="0.3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ht="12.45" x14ac:dyDescent="0.3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ht="12.45" x14ac:dyDescent="0.3">
      <c r="A388" s="261" t="str">
        <f>name!A54</f>
        <v>Legal and accounting</v>
      </c>
      <c r="C388" s="263"/>
    </row>
    <row r="389" spans="1:25" ht="12.45" x14ac:dyDescent="0.3">
      <c r="A389" s="260" t="s">
        <v>356</v>
      </c>
      <c r="B389" s="300">
        <v>225.61599999578374</v>
      </c>
      <c r="C389" s="300">
        <v>87.140999999640016</v>
      </c>
      <c r="D389" s="300">
        <v>45.5050000000804</v>
      </c>
      <c r="E389" s="300">
        <f>SUM(B389:D389)</f>
        <v>358.2619999955042</v>
      </c>
      <c r="F389" s="300"/>
      <c r="G389" s="300">
        <v>254.66399999445602</v>
      </c>
      <c r="H389" s="300">
        <v>103.28199999970047</v>
      </c>
      <c r="I389" s="300">
        <v>45.781999999972882</v>
      </c>
      <c r="J389" s="300">
        <f>SUM(G389:I389)</f>
        <v>403.72799999412939</v>
      </c>
      <c r="K389" s="300"/>
      <c r="L389" s="300">
        <v>252.20999999704802</v>
      </c>
      <c r="M389" s="300">
        <v>115.18399999989416</v>
      </c>
      <c r="N389" s="300">
        <v>44.199999999086856</v>
      </c>
      <c r="O389" s="300">
        <f>SUM(L389:N389)</f>
        <v>411.59399999602903</v>
      </c>
      <c r="P389" s="300"/>
      <c r="Q389" s="300">
        <v>262.2840000061239</v>
      </c>
      <c r="R389" s="300">
        <v>121.8160000004757</v>
      </c>
      <c r="S389" s="300">
        <v>46.139999999694695</v>
      </c>
      <c r="T389" s="300">
        <f>SUM(Q389:S389)</f>
        <v>430.24000000629428</v>
      </c>
      <c r="U389" s="300"/>
      <c r="V389" s="300">
        <v>269.92300000189852</v>
      </c>
      <c r="W389" s="300">
        <v>129.7290000008903</v>
      </c>
      <c r="X389" s="300">
        <v>47.892000000402938</v>
      </c>
      <c r="Y389" s="300">
        <f>SUM(V389:X389)</f>
        <v>447.54400000319174</v>
      </c>
    </row>
    <row r="390" spans="1:25" ht="12.45" x14ac:dyDescent="0.3">
      <c r="A390" s="260" t="s">
        <v>355</v>
      </c>
      <c r="B390" s="300">
        <v>216.3729999949401</v>
      </c>
      <c r="C390" s="300">
        <v>26.839999999684093</v>
      </c>
      <c r="D390" s="300">
        <v>68.812000000723941</v>
      </c>
      <c r="E390" s="300">
        <f t="shared" ref="E390:E391" si="1019">SUM(B390:D390)</f>
        <v>312.02499999534814</v>
      </c>
      <c r="F390" s="300"/>
      <c r="G390" s="300">
        <v>244.25399999612634</v>
      </c>
      <c r="H390" s="300">
        <v>27.427999999743861</v>
      </c>
      <c r="I390" s="300">
        <v>91.304999999539234</v>
      </c>
      <c r="J390" s="300">
        <f t="shared" ref="J390:J391" si="1020">SUM(G390:I390)</f>
        <v>362.98699999540946</v>
      </c>
      <c r="K390" s="300"/>
      <c r="L390" s="300">
        <v>212.91999999867488</v>
      </c>
      <c r="M390" s="300">
        <v>40.270000000023515</v>
      </c>
      <c r="N390" s="300">
        <v>65.555000001648537</v>
      </c>
      <c r="O390" s="300">
        <f t="shared" ref="O390:O391" si="1021">SUM(L390:N390)</f>
        <v>318.74500000034692</v>
      </c>
      <c r="P390" s="300"/>
      <c r="Q390" s="300">
        <v>226.34000000001362</v>
      </c>
      <c r="R390" s="300">
        <v>43.564000000000796</v>
      </c>
      <c r="S390" s="300">
        <v>68.286000004561473</v>
      </c>
      <c r="T390" s="300">
        <f t="shared" ref="T390:T391" si="1022">SUM(Q390:S390)</f>
        <v>338.19000000457589</v>
      </c>
      <c r="U390" s="300"/>
      <c r="V390" s="300">
        <v>243.58599999944823</v>
      </c>
      <c r="W390" s="300">
        <v>48.493000000000805</v>
      </c>
      <c r="X390" s="300">
        <v>70.602000003193197</v>
      </c>
      <c r="Y390" s="300">
        <f t="shared" ref="Y390:Y391" si="1023">SUM(V390:X390)</f>
        <v>362.68100000264224</v>
      </c>
    </row>
    <row r="391" spans="1:25" ht="12.45" x14ac:dyDescent="0.3">
      <c r="A391" s="260" t="s">
        <v>354</v>
      </c>
      <c r="B391" s="300">
        <f>SUM(B389:B390)</f>
        <v>441.98899999072387</v>
      </c>
      <c r="C391" s="300">
        <f t="shared" ref="C391" si="1024">SUM(C389:C390)</f>
        <v>113.98099999932411</v>
      </c>
      <c r="D391" s="300">
        <f t="shared" ref="D391" si="1025">SUM(D389:D390)</f>
        <v>114.31700000080434</v>
      </c>
      <c r="E391" s="300">
        <f t="shared" si="1019"/>
        <v>670.28699999085234</v>
      </c>
      <c r="F391" s="300"/>
      <c r="G391" s="300">
        <f>SUM(G389:G390)</f>
        <v>498.91799999058236</v>
      </c>
      <c r="H391" s="300">
        <f t="shared" ref="H391" si="1026">SUM(H389:H390)</f>
        <v>130.70999999944434</v>
      </c>
      <c r="I391" s="300">
        <f t="shared" ref="I391" si="1027">SUM(I389:I390)</f>
        <v>137.0869999995121</v>
      </c>
      <c r="J391" s="300">
        <f t="shared" si="1020"/>
        <v>766.71499998953868</v>
      </c>
      <c r="K391" s="300"/>
      <c r="L391" s="300">
        <f>SUM(L389:L390)</f>
        <v>465.12999999572287</v>
      </c>
      <c r="M391" s="300">
        <f t="shared" ref="M391" si="1028">SUM(M389:M390)</f>
        <v>155.45399999991767</v>
      </c>
      <c r="N391" s="300">
        <f t="shared" ref="N391" si="1029">SUM(N389:N390)</f>
        <v>109.75500000073539</v>
      </c>
      <c r="O391" s="300">
        <f t="shared" si="1021"/>
        <v>730.33899999637595</v>
      </c>
      <c r="P391" s="300"/>
      <c r="Q391" s="300">
        <f>SUM(Q389:Q390)</f>
        <v>488.62400000613752</v>
      </c>
      <c r="R391" s="300">
        <f t="shared" ref="R391" si="1030">SUM(R389:R390)</f>
        <v>165.38000000047649</v>
      </c>
      <c r="S391" s="300">
        <f t="shared" ref="S391" si="1031">SUM(S389:S390)</f>
        <v>114.42600000425617</v>
      </c>
      <c r="T391" s="300">
        <f t="shared" si="1022"/>
        <v>768.43000001087012</v>
      </c>
      <c r="U391" s="300"/>
      <c r="V391" s="300">
        <f>SUM(V389:V390)</f>
        <v>513.50900000134675</v>
      </c>
      <c r="W391" s="300">
        <f t="shared" ref="W391" si="1032">SUM(W389:W390)</f>
        <v>178.22200000089111</v>
      </c>
      <c r="X391" s="300">
        <f t="shared" ref="X391" si="1033">SUM(X389:X390)</f>
        <v>118.49400000359614</v>
      </c>
      <c r="Y391" s="300">
        <f t="shared" si="1023"/>
        <v>810.22500000583398</v>
      </c>
    </row>
    <row r="392" spans="1:25" ht="12.45" x14ac:dyDescent="0.3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ht="12.45" x14ac:dyDescent="0.3">
      <c r="A393" s="261" t="str">
        <f>name!A55</f>
        <v>Head offices, etc</v>
      </c>
      <c r="C393" s="263"/>
    </row>
    <row r="394" spans="1:25" ht="12.45" x14ac:dyDescent="0.3">
      <c r="A394" s="260" t="s">
        <v>356</v>
      </c>
      <c r="B394" s="300">
        <v>191.87699999626315</v>
      </c>
      <c r="C394" s="300">
        <v>127.34899999938199</v>
      </c>
      <c r="D394" s="300">
        <v>41.864999999999704</v>
      </c>
      <c r="E394" s="300">
        <f>SUM(B394:D394)</f>
        <v>361.09099999564484</v>
      </c>
      <c r="F394" s="300"/>
      <c r="G394" s="300">
        <v>217.04499999524057</v>
      </c>
      <c r="H394" s="300">
        <v>134.38699999964487</v>
      </c>
      <c r="I394" s="300">
        <v>32.763999999943771</v>
      </c>
      <c r="J394" s="300">
        <f>SUM(G394:I394)</f>
        <v>384.19599999482926</v>
      </c>
      <c r="K394" s="300"/>
      <c r="L394" s="300">
        <v>206.92199999764281</v>
      </c>
      <c r="M394" s="300">
        <v>129.32999999976713</v>
      </c>
      <c r="N394" s="300">
        <v>33.016999999325186</v>
      </c>
      <c r="O394" s="300">
        <f>SUM(L394:N394)</f>
        <v>369.26899999673515</v>
      </c>
      <c r="P394" s="300"/>
      <c r="Q394" s="300">
        <v>216.89100000549192</v>
      </c>
      <c r="R394" s="300">
        <v>136.52100000049811</v>
      </c>
      <c r="S394" s="300">
        <v>32.998999999845829</v>
      </c>
      <c r="T394" s="300">
        <f>SUM(Q394:S394)</f>
        <v>386.41100000583583</v>
      </c>
      <c r="U394" s="300"/>
      <c r="V394" s="300">
        <v>230.26800000173247</v>
      </c>
      <c r="W394" s="300">
        <v>146.9430000009356</v>
      </c>
      <c r="X394" s="300">
        <v>31.755000000255013</v>
      </c>
      <c r="Y394" s="300">
        <f>SUM(V394:X394)</f>
        <v>408.96600000292307</v>
      </c>
    </row>
    <row r="395" spans="1:25" ht="12.45" x14ac:dyDescent="0.3">
      <c r="A395" s="260" t="s">
        <v>355</v>
      </c>
      <c r="B395" s="300">
        <v>315.0459999928637</v>
      </c>
      <c r="C395" s="300">
        <v>46.589999999390052</v>
      </c>
      <c r="D395" s="300">
        <v>47.337000000558618</v>
      </c>
      <c r="E395" s="300">
        <f t="shared" ref="E395:E396" si="1034">SUM(B395:D395)</f>
        <v>408.97299999281233</v>
      </c>
      <c r="F395" s="300"/>
      <c r="G395" s="300">
        <v>315.53499999501702</v>
      </c>
      <c r="H395" s="300">
        <v>47.892999999529401</v>
      </c>
      <c r="I395" s="300">
        <v>51.666999999707677</v>
      </c>
      <c r="J395" s="300">
        <f t="shared" ref="J395:J396" si="1035">SUM(G395:I395)</f>
        <v>415.09499999425412</v>
      </c>
      <c r="K395" s="300"/>
      <c r="L395" s="300">
        <v>325.15399999759626</v>
      </c>
      <c r="M395" s="300">
        <v>65.775000000070378</v>
      </c>
      <c r="N395" s="300">
        <v>44.895000001104833</v>
      </c>
      <c r="O395" s="300">
        <f t="shared" ref="O395:O396" si="1036">SUM(L395:N395)</f>
        <v>435.82399999877151</v>
      </c>
      <c r="P395" s="300"/>
      <c r="Q395" s="300">
        <v>331.36899999966442</v>
      </c>
      <c r="R395" s="300">
        <v>69.222000000030107</v>
      </c>
      <c r="S395" s="300">
        <v>46.653000003072627</v>
      </c>
      <c r="T395" s="300">
        <f t="shared" ref="T395:T396" si="1037">SUM(Q395:S395)</f>
        <v>447.24400000276717</v>
      </c>
      <c r="U395" s="300"/>
      <c r="V395" s="300">
        <v>332.38099999844775</v>
      </c>
      <c r="W395" s="300">
        <v>74.068000000036207</v>
      </c>
      <c r="X395" s="300">
        <v>48.682000002087008</v>
      </c>
      <c r="Y395" s="300">
        <f t="shared" ref="Y395:Y396" si="1038">SUM(V395:X395)</f>
        <v>455.13100000057096</v>
      </c>
    </row>
    <row r="396" spans="1:25" ht="12.45" x14ac:dyDescent="0.3">
      <c r="A396" s="260" t="s">
        <v>354</v>
      </c>
      <c r="B396" s="300">
        <f>SUM(B394:B395)</f>
        <v>506.92299998912688</v>
      </c>
      <c r="C396" s="300">
        <f t="shared" ref="C396" si="1039">SUM(C394:C395)</f>
        <v>173.93899999877203</v>
      </c>
      <c r="D396" s="300">
        <f t="shared" ref="D396" si="1040">SUM(D394:D395)</f>
        <v>89.202000000558314</v>
      </c>
      <c r="E396" s="300">
        <f t="shared" si="1034"/>
        <v>770.06399998845723</v>
      </c>
      <c r="F396" s="300"/>
      <c r="G396" s="300">
        <f>SUM(G394:G395)</f>
        <v>532.57999999025765</v>
      </c>
      <c r="H396" s="300">
        <f t="shared" ref="H396" si="1041">SUM(H394:H395)</f>
        <v>182.27999999917427</v>
      </c>
      <c r="I396" s="300">
        <f t="shared" ref="I396" si="1042">SUM(I394:I395)</f>
        <v>84.430999999651448</v>
      </c>
      <c r="J396" s="300">
        <f t="shared" si="1035"/>
        <v>799.29099998908339</v>
      </c>
      <c r="K396" s="300"/>
      <c r="L396" s="300">
        <f>SUM(L394:L395)</f>
        <v>532.07599999523904</v>
      </c>
      <c r="M396" s="300">
        <f t="shared" ref="M396" si="1043">SUM(M394:M395)</f>
        <v>195.1049999998375</v>
      </c>
      <c r="N396" s="300">
        <f t="shared" ref="N396" si="1044">SUM(N394:N395)</f>
        <v>77.912000000430027</v>
      </c>
      <c r="O396" s="300">
        <f t="shared" si="1036"/>
        <v>805.09299999550649</v>
      </c>
      <c r="P396" s="300"/>
      <c r="Q396" s="300">
        <f>SUM(Q394:Q395)</f>
        <v>548.26000000515637</v>
      </c>
      <c r="R396" s="300">
        <f t="shared" ref="R396" si="1045">SUM(R394:R395)</f>
        <v>205.74300000052821</v>
      </c>
      <c r="S396" s="300">
        <f t="shared" ref="S396" si="1046">SUM(S394:S395)</f>
        <v>79.652000002918456</v>
      </c>
      <c r="T396" s="300">
        <f t="shared" si="1037"/>
        <v>833.65500000860311</v>
      </c>
      <c r="U396" s="300"/>
      <c r="V396" s="300">
        <f>SUM(V394:V395)</f>
        <v>562.64900000018019</v>
      </c>
      <c r="W396" s="300">
        <f t="shared" ref="W396" si="1047">SUM(W394:W395)</f>
        <v>221.01100000097182</v>
      </c>
      <c r="X396" s="300">
        <f t="shared" ref="X396" si="1048">SUM(X394:X395)</f>
        <v>80.437000002342018</v>
      </c>
      <c r="Y396" s="300">
        <f t="shared" si="1038"/>
        <v>864.09700000349403</v>
      </c>
    </row>
    <row r="397" spans="1:25" ht="12.45" x14ac:dyDescent="0.3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ht="12.45" x14ac:dyDescent="0.3">
      <c r="A398" s="261" t="str">
        <f>name!A56</f>
        <v>Architectural and related</v>
      </c>
      <c r="C398" s="263"/>
    </row>
    <row r="399" spans="1:25" ht="12.45" x14ac:dyDescent="0.3">
      <c r="A399" s="260" t="s">
        <v>356</v>
      </c>
      <c r="B399" s="300">
        <v>93.739999998308832</v>
      </c>
      <c r="C399" s="300">
        <v>36.334999999861296</v>
      </c>
      <c r="D399" s="300">
        <v>14.311000000042231</v>
      </c>
      <c r="E399" s="300">
        <f>SUM(B399:D399)</f>
        <v>144.38599999821238</v>
      </c>
      <c r="F399" s="300"/>
      <c r="G399" s="300">
        <v>102.41499999786197</v>
      </c>
      <c r="H399" s="300">
        <v>41.052999999873144</v>
      </c>
      <c r="I399" s="300">
        <v>9.4969999999828918</v>
      </c>
      <c r="J399" s="300">
        <f>SUM(G399:I399)</f>
        <v>152.96499999771802</v>
      </c>
      <c r="K399" s="300"/>
      <c r="L399" s="300">
        <v>105.43899999871495</v>
      </c>
      <c r="M399" s="300">
        <v>35.948999999943872</v>
      </c>
      <c r="N399" s="300">
        <v>12.977999999723092</v>
      </c>
      <c r="O399" s="300">
        <f>SUM(L399:N399)</f>
        <v>154.36599999838191</v>
      </c>
      <c r="P399" s="300"/>
      <c r="Q399" s="300">
        <v>107.1630000024891</v>
      </c>
      <c r="R399" s="300">
        <v>35.795000000085615</v>
      </c>
      <c r="S399" s="300">
        <v>12.524999999905605</v>
      </c>
      <c r="T399" s="300">
        <f>SUM(Q399:S399)</f>
        <v>155.48300000248034</v>
      </c>
      <c r="U399" s="300"/>
      <c r="V399" s="300">
        <v>118.19700000096644</v>
      </c>
      <c r="W399" s="300">
        <v>38.036000000249416</v>
      </c>
      <c r="X399" s="300">
        <v>12.478000000108219</v>
      </c>
      <c r="Y399" s="300">
        <f>SUM(V399:X399)</f>
        <v>168.71100000132407</v>
      </c>
    </row>
    <row r="400" spans="1:25" ht="12.45" x14ac:dyDescent="0.3">
      <c r="A400" s="260" t="s">
        <v>355</v>
      </c>
      <c r="B400" s="300">
        <v>277.22099999448494</v>
      </c>
      <c r="C400" s="300">
        <v>16.137999999850337</v>
      </c>
      <c r="D400" s="300">
        <v>52.931000000697949</v>
      </c>
      <c r="E400" s="300">
        <f t="shared" ref="E400:E401" si="1049">SUM(B400:D400)</f>
        <v>346.28999999503321</v>
      </c>
      <c r="F400" s="300"/>
      <c r="G400" s="300">
        <v>306.97899999578789</v>
      </c>
      <c r="H400" s="300">
        <v>28.581999999751076</v>
      </c>
      <c r="I400" s="300">
        <v>70.434999999767683</v>
      </c>
      <c r="J400" s="300">
        <f t="shared" ref="J400:J401" si="1050">SUM(G400:I400)</f>
        <v>405.99599999530665</v>
      </c>
      <c r="K400" s="300"/>
      <c r="L400" s="300">
        <v>320.38999999640583</v>
      </c>
      <c r="M400" s="300">
        <v>31.349999999981723</v>
      </c>
      <c r="N400" s="300">
        <v>61.974000001302841</v>
      </c>
      <c r="O400" s="300">
        <f t="shared" ref="O400:O401" si="1051">SUM(L400:N400)</f>
        <v>413.71399999769039</v>
      </c>
      <c r="P400" s="300"/>
      <c r="Q400" s="300">
        <v>311.57599999914771</v>
      </c>
      <c r="R400" s="300">
        <v>31.761999999976041</v>
      </c>
      <c r="S400" s="300">
        <v>60.456000003844395</v>
      </c>
      <c r="T400" s="300">
        <f t="shared" ref="T400:T401" si="1052">SUM(Q400:S400)</f>
        <v>403.79400000296818</v>
      </c>
      <c r="U400" s="300"/>
      <c r="V400" s="300">
        <v>315.48599999771199</v>
      </c>
      <c r="W400" s="300">
        <v>34.732999999967966</v>
      </c>
      <c r="X400" s="300">
        <v>61.625000002521958</v>
      </c>
      <c r="Y400" s="300">
        <f t="shared" ref="Y400:Y401" si="1053">SUM(V400:X400)</f>
        <v>411.8440000002019</v>
      </c>
    </row>
    <row r="401" spans="1:25" ht="12.45" x14ac:dyDescent="0.3">
      <c r="A401" s="260" t="s">
        <v>354</v>
      </c>
      <c r="B401" s="300">
        <f>SUM(B399:B400)</f>
        <v>370.96099999279375</v>
      </c>
      <c r="C401" s="300">
        <f t="shared" ref="C401" si="1054">SUM(C399:C400)</f>
        <v>52.472999999711632</v>
      </c>
      <c r="D401" s="300">
        <f t="shared" ref="D401" si="1055">SUM(D399:D400)</f>
        <v>67.242000000740177</v>
      </c>
      <c r="E401" s="300">
        <f t="shared" si="1049"/>
        <v>490.67599999324557</v>
      </c>
      <c r="F401" s="300"/>
      <c r="G401" s="300">
        <f>SUM(G399:G400)</f>
        <v>409.39399999364986</v>
      </c>
      <c r="H401" s="300">
        <f t="shared" ref="H401" si="1056">SUM(H399:H400)</f>
        <v>69.634999999624227</v>
      </c>
      <c r="I401" s="300">
        <f t="shared" ref="I401" si="1057">SUM(I399:I400)</f>
        <v>79.931999999750573</v>
      </c>
      <c r="J401" s="300">
        <f t="shared" si="1050"/>
        <v>558.96099999302464</v>
      </c>
      <c r="K401" s="300"/>
      <c r="L401" s="300">
        <f>SUM(L399:L400)</f>
        <v>425.8289999951208</v>
      </c>
      <c r="M401" s="300">
        <f t="shared" ref="M401" si="1058">SUM(M399:M400)</f>
        <v>67.298999999925599</v>
      </c>
      <c r="N401" s="300">
        <f t="shared" ref="N401" si="1059">SUM(N399:N400)</f>
        <v>74.952000001025937</v>
      </c>
      <c r="O401" s="300">
        <f t="shared" si="1051"/>
        <v>568.07999999607227</v>
      </c>
      <c r="P401" s="300"/>
      <c r="Q401" s="300">
        <f>SUM(Q399:Q400)</f>
        <v>418.73900000163678</v>
      </c>
      <c r="R401" s="300">
        <f t="shared" ref="R401" si="1060">SUM(R399:R400)</f>
        <v>67.557000000061663</v>
      </c>
      <c r="S401" s="300">
        <f t="shared" ref="S401" si="1061">SUM(S399:S400)</f>
        <v>72.981000003749998</v>
      </c>
      <c r="T401" s="300">
        <f t="shared" si="1052"/>
        <v>559.27700000544837</v>
      </c>
      <c r="U401" s="300"/>
      <c r="V401" s="300">
        <f>SUM(V399:V400)</f>
        <v>433.68299999867844</v>
      </c>
      <c r="W401" s="300">
        <f t="shared" ref="W401" si="1062">SUM(W399:W400)</f>
        <v>72.769000000217375</v>
      </c>
      <c r="X401" s="300">
        <f t="shared" ref="X401" si="1063">SUM(X399:X400)</f>
        <v>74.103000002630182</v>
      </c>
      <c r="Y401" s="300">
        <f t="shared" si="1053"/>
        <v>580.55500000152597</v>
      </c>
    </row>
    <row r="402" spans="1:25" ht="12.45" x14ac:dyDescent="0.3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ht="12.45" x14ac:dyDescent="0.3">
      <c r="A403" s="261" t="str">
        <f>name!A57</f>
        <v>Scientific research and development</v>
      </c>
      <c r="C403" s="263"/>
    </row>
    <row r="404" spans="1:25" ht="12.45" x14ac:dyDescent="0.3">
      <c r="A404" s="260" t="s">
        <v>356</v>
      </c>
      <c r="B404" s="300">
        <v>23.04899999979602</v>
      </c>
      <c r="C404" s="300">
        <v>5.8429999999055795</v>
      </c>
      <c r="D404" s="300">
        <v>17.836999999946741</v>
      </c>
      <c r="E404" s="300">
        <f>SUM(B404:D404)</f>
        <v>46.728999999648337</v>
      </c>
      <c r="F404" s="300"/>
      <c r="G404" s="300">
        <v>27.185999999706571</v>
      </c>
      <c r="H404" s="300">
        <v>6.476999999912497</v>
      </c>
      <c r="I404" s="300">
        <v>20.096999999881273</v>
      </c>
      <c r="J404" s="300">
        <f>SUM(G404:I404)</f>
        <v>53.759999999500337</v>
      </c>
      <c r="K404" s="300"/>
      <c r="L404" s="300">
        <v>27.477000000305921</v>
      </c>
      <c r="M404" s="300">
        <v>6.1489999999361933</v>
      </c>
      <c r="N404" s="300">
        <v>16.170999999776374</v>
      </c>
      <c r="O404" s="300">
        <f>SUM(L404:N404)</f>
        <v>49.797000000018485</v>
      </c>
      <c r="P404" s="300"/>
      <c r="Q404" s="300">
        <v>30.641999999271171</v>
      </c>
      <c r="R404" s="300">
        <v>6.7339999998819939</v>
      </c>
      <c r="S404" s="300">
        <v>18.688999999896385</v>
      </c>
      <c r="T404" s="300">
        <f>SUM(Q404:S404)</f>
        <v>56.064999999049547</v>
      </c>
      <c r="U404" s="300"/>
      <c r="V404" s="300">
        <v>34.375000000590262</v>
      </c>
      <c r="W404" s="300">
        <v>7.4670000000473724</v>
      </c>
      <c r="X404" s="300">
        <v>23.109000000175367</v>
      </c>
      <c r="Y404" s="300">
        <f>SUM(V404:X404)</f>
        <v>64.951000000812996</v>
      </c>
    </row>
    <row r="405" spans="1:25" ht="12.45" x14ac:dyDescent="0.3">
      <c r="A405" s="260" t="s">
        <v>355</v>
      </c>
      <c r="B405" s="300">
        <v>61.237999999431572</v>
      </c>
      <c r="C405" s="300">
        <v>5.5129999998747241</v>
      </c>
      <c r="D405" s="300">
        <v>31.176000000213087</v>
      </c>
      <c r="E405" s="300">
        <f t="shared" ref="E405:E406" si="1064">SUM(B405:D405)</f>
        <v>97.926999999519381</v>
      </c>
      <c r="F405" s="300"/>
      <c r="G405" s="300">
        <v>70.65299999942907</v>
      </c>
      <c r="H405" s="300">
        <v>5.650999999878044</v>
      </c>
      <c r="I405" s="300">
        <v>35.701999999665311</v>
      </c>
      <c r="J405" s="300">
        <f t="shared" ref="J405:J406" si="1065">SUM(G405:I405)</f>
        <v>112.00599999897241</v>
      </c>
      <c r="K405" s="300"/>
      <c r="L405" s="300">
        <v>68.126999999750723</v>
      </c>
      <c r="M405" s="300">
        <v>5.0180000000441263</v>
      </c>
      <c r="N405" s="300">
        <v>27.003000000366107</v>
      </c>
      <c r="O405" s="300">
        <f t="shared" ref="O405:O406" si="1066">SUM(L405:N405)</f>
        <v>100.14800000016095</v>
      </c>
      <c r="P405" s="300"/>
      <c r="Q405" s="300">
        <v>74.78599999915626</v>
      </c>
      <c r="R405" s="300">
        <v>5.7299999999867914</v>
      </c>
      <c r="S405" s="300">
        <v>30.227000001460155</v>
      </c>
      <c r="T405" s="300">
        <f t="shared" ref="T405:T406" si="1067">SUM(Q405:S405)</f>
        <v>110.7430000006032</v>
      </c>
      <c r="U405" s="300"/>
      <c r="V405" s="300">
        <v>81.819999998816783</v>
      </c>
      <c r="W405" s="300">
        <v>6.9109999999667941</v>
      </c>
      <c r="X405" s="300">
        <v>34.862000000918911</v>
      </c>
      <c r="Y405" s="300">
        <f t="shared" ref="Y405:Y406" si="1068">SUM(V405:X405)</f>
        <v>123.59299999970249</v>
      </c>
    </row>
    <row r="406" spans="1:25" ht="12.45" x14ac:dyDescent="0.3">
      <c r="A406" s="260" t="s">
        <v>354</v>
      </c>
      <c r="B406" s="300">
        <f>SUM(B404:B405)</f>
        <v>84.286999999227589</v>
      </c>
      <c r="C406" s="300">
        <f t="shared" ref="C406" si="1069">SUM(C404:C405)</f>
        <v>11.355999999780304</v>
      </c>
      <c r="D406" s="300">
        <f t="shared" ref="D406" si="1070">SUM(D404:D405)</f>
        <v>49.013000000159828</v>
      </c>
      <c r="E406" s="300">
        <f t="shared" si="1064"/>
        <v>144.65599999916773</v>
      </c>
      <c r="F406" s="300"/>
      <c r="G406" s="300">
        <f>SUM(G404:G405)</f>
        <v>97.838999999135638</v>
      </c>
      <c r="H406" s="300">
        <f t="shared" ref="H406" si="1071">SUM(H404:H405)</f>
        <v>12.127999999790541</v>
      </c>
      <c r="I406" s="300">
        <f t="shared" ref="I406" si="1072">SUM(I404:I405)</f>
        <v>55.798999999546581</v>
      </c>
      <c r="J406" s="300">
        <f t="shared" si="1065"/>
        <v>165.76599999847275</v>
      </c>
      <c r="K406" s="300"/>
      <c r="L406" s="300">
        <f>SUM(L404:L405)</f>
        <v>95.604000000056644</v>
      </c>
      <c r="M406" s="300">
        <f t="shared" ref="M406" si="1073">SUM(M404:M405)</f>
        <v>11.16699999998032</v>
      </c>
      <c r="N406" s="300">
        <f t="shared" ref="N406" si="1074">SUM(N404:N405)</f>
        <v>43.174000000142485</v>
      </c>
      <c r="O406" s="300">
        <f t="shared" si="1066"/>
        <v>149.94500000017945</v>
      </c>
      <c r="P406" s="300"/>
      <c r="Q406" s="300">
        <f>SUM(Q404:Q405)</f>
        <v>105.42799999842742</v>
      </c>
      <c r="R406" s="300">
        <f t="shared" ref="R406" si="1075">SUM(R404:R405)</f>
        <v>12.463999999868786</v>
      </c>
      <c r="S406" s="300">
        <f t="shared" ref="S406" si="1076">SUM(S404:S405)</f>
        <v>48.916000001356537</v>
      </c>
      <c r="T406" s="300">
        <f t="shared" si="1067"/>
        <v>166.80799999965274</v>
      </c>
      <c r="U406" s="300"/>
      <c r="V406" s="300">
        <f>SUM(V404:V405)</f>
        <v>116.19499999940705</v>
      </c>
      <c r="W406" s="300">
        <f t="shared" ref="W406" si="1077">SUM(W404:W405)</f>
        <v>14.378000000014167</v>
      </c>
      <c r="X406" s="300">
        <f t="shared" ref="X406" si="1078">SUM(X404:X405)</f>
        <v>57.971000001094282</v>
      </c>
      <c r="Y406" s="300">
        <f t="shared" si="1068"/>
        <v>188.5440000005155</v>
      </c>
    </row>
    <row r="407" spans="1:25" ht="12.45" x14ac:dyDescent="0.3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ht="12.45" x14ac:dyDescent="0.3">
      <c r="A408" s="261" t="str">
        <f>name!A58</f>
        <v>Advertising, etc</v>
      </c>
      <c r="C408" s="263"/>
    </row>
    <row r="409" spans="1:25" ht="12.45" x14ac:dyDescent="0.3">
      <c r="A409" s="260" t="s">
        <v>356</v>
      </c>
      <c r="B409" s="300">
        <v>83.997999998378319</v>
      </c>
      <c r="C409" s="300">
        <v>34.912999999845688</v>
      </c>
      <c r="D409" s="300">
        <v>30.213999999987486</v>
      </c>
      <c r="E409" s="300">
        <f>SUM(B409:D409)</f>
        <v>149.12499999821151</v>
      </c>
      <c r="F409" s="300"/>
      <c r="G409" s="300">
        <v>83.971999997978315</v>
      </c>
      <c r="H409" s="300">
        <v>27.362999999868446</v>
      </c>
      <c r="I409" s="300">
        <v>27.059999999945688</v>
      </c>
      <c r="J409" s="300">
        <f>SUM(G409:I409)</f>
        <v>138.39499999779247</v>
      </c>
      <c r="K409" s="300"/>
      <c r="L409" s="300">
        <v>83.98799999940438</v>
      </c>
      <c r="M409" s="300">
        <v>27.299999999955471</v>
      </c>
      <c r="N409" s="300">
        <v>23.520999999656745</v>
      </c>
      <c r="O409" s="300">
        <f>SUM(L409:N409)</f>
        <v>134.80899999901661</v>
      </c>
      <c r="P409" s="300"/>
      <c r="Q409" s="300">
        <v>94.144000002609758</v>
      </c>
      <c r="R409" s="300">
        <v>30.382000000006553</v>
      </c>
      <c r="S409" s="300">
        <v>27.434999999963086</v>
      </c>
      <c r="T409" s="300">
        <f>SUM(Q409:S409)</f>
        <v>151.9610000025794</v>
      </c>
      <c r="U409" s="300"/>
      <c r="V409" s="300">
        <v>103.79200000055066</v>
      </c>
      <c r="W409" s="300">
        <v>33.725000000176841</v>
      </c>
      <c r="X409" s="300">
        <v>33.465000000203425</v>
      </c>
      <c r="Y409" s="300">
        <f>SUM(V409:X409)</f>
        <v>170.98200000093092</v>
      </c>
    </row>
    <row r="410" spans="1:25" ht="12.45" x14ac:dyDescent="0.3">
      <c r="A410" s="260" t="s">
        <v>355</v>
      </c>
      <c r="B410" s="300">
        <v>65.543999998340368</v>
      </c>
      <c r="C410" s="300">
        <v>10.031999999865842</v>
      </c>
      <c r="D410" s="300">
        <v>31.381000000311822</v>
      </c>
      <c r="E410" s="300">
        <f t="shared" ref="E410:E411" si="1079">SUM(B410:D410)</f>
        <v>106.95699999851803</v>
      </c>
      <c r="F410" s="300"/>
      <c r="G410" s="300">
        <v>60.580999998857912</v>
      </c>
      <c r="H410" s="300">
        <v>7.3319999999166283</v>
      </c>
      <c r="I410" s="300">
        <v>30.339999999749207</v>
      </c>
      <c r="J410" s="300">
        <f t="shared" ref="J410:J411" si="1080">SUM(G410:I410)</f>
        <v>98.252999998523748</v>
      </c>
      <c r="K410" s="300"/>
      <c r="L410" s="300">
        <v>56.772000000040492</v>
      </c>
      <c r="M410" s="300">
        <v>6.5850000000124416</v>
      </c>
      <c r="N410" s="300">
        <v>22.869000000690633</v>
      </c>
      <c r="O410" s="300">
        <f t="shared" ref="O410:O411" si="1081">SUM(L410:N410)</f>
        <v>86.226000000743568</v>
      </c>
      <c r="P410" s="300"/>
      <c r="Q410" s="300">
        <v>62.775000000335957</v>
      </c>
      <c r="R410" s="300">
        <v>7.6510000000018099</v>
      </c>
      <c r="S410" s="300">
        <v>25.811000001834842</v>
      </c>
      <c r="T410" s="300">
        <f t="shared" ref="T410:T411" si="1082">SUM(Q410:S410)</f>
        <v>96.237000002172607</v>
      </c>
      <c r="U410" s="300"/>
      <c r="V410" s="300">
        <v>67.022000000206035</v>
      </c>
      <c r="W410" s="300">
        <v>9.2149999999996837</v>
      </c>
      <c r="X410" s="300">
        <v>29.179000001415265</v>
      </c>
      <c r="Y410" s="300">
        <f t="shared" ref="Y410:Y411" si="1083">SUM(V410:X410)</f>
        <v>105.41600000162097</v>
      </c>
    </row>
    <row r="411" spans="1:25" ht="12.45" x14ac:dyDescent="0.3">
      <c r="A411" s="260" t="s">
        <v>354</v>
      </c>
      <c r="B411" s="300">
        <f>SUM(B409:B410)</f>
        <v>149.54199999671869</v>
      </c>
      <c r="C411" s="300">
        <f t="shared" ref="C411" si="1084">SUM(C409:C410)</f>
        <v>44.944999999711527</v>
      </c>
      <c r="D411" s="300">
        <f t="shared" ref="D411" si="1085">SUM(D409:D410)</f>
        <v>61.595000000299308</v>
      </c>
      <c r="E411" s="300">
        <f t="shared" si="1079"/>
        <v>256.08199999672951</v>
      </c>
      <c r="F411" s="300"/>
      <c r="G411" s="300">
        <f>SUM(G409:G410)</f>
        <v>144.55299999683623</v>
      </c>
      <c r="H411" s="300">
        <f t="shared" ref="H411" si="1086">SUM(H409:H410)</f>
        <v>34.694999999785075</v>
      </c>
      <c r="I411" s="300">
        <f t="shared" ref="I411" si="1087">SUM(I409:I410)</f>
        <v>57.399999999694899</v>
      </c>
      <c r="J411" s="300">
        <f t="shared" si="1080"/>
        <v>236.6479999963162</v>
      </c>
      <c r="K411" s="300"/>
      <c r="L411" s="300">
        <f>SUM(L409:L410)</f>
        <v>140.75999999944486</v>
      </c>
      <c r="M411" s="300">
        <f t="shared" ref="M411" si="1088">SUM(M409:M410)</f>
        <v>33.88499999996791</v>
      </c>
      <c r="N411" s="300">
        <f t="shared" ref="N411" si="1089">SUM(N409:N410)</f>
        <v>46.390000000347378</v>
      </c>
      <c r="O411" s="300">
        <f t="shared" si="1081"/>
        <v>221.03499999976015</v>
      </c>
      <c r="P411" s="300"/>
      <c r="Q411" s="300">
        <f>SUM(Q409:Q410)</f>
        <v>156.91900000294572</v>
      </c>
      <c r="R411" s="300">
        <f t="shared" ref="R411" si="1090">SUM(R409:R410)</f>
        <v>38.033000000008364</v>
      </c>
      <c r="S411" s="300">
        <f t="shared" ref="S411" si="1091">SUM(S409:S410)</f>
        <v>53.246000001797924</v>
      </c>
      <c r="T411" s="300">
        <f t="shared" si="1082"/>
        <v>248.19800000475203</v>
      </c>
      <c r="U411" s="300"/>
      <c r="V411" s="300">
        <f>SUM(V409:V410)</f>
        <v>170.81400000075669</v>
      </c>
      <c r="W411" s="300">
        <f t="shared" ref="W411" si="1092">SUM(W409:W410)</f>
        <v>42.940000000176525</v>
      </c>
      <c r="X411" s="300">
        <f t="shared" ref="X411" si="1093">SUM(X409:X410)</f>
        <v>62.644000001618693</v>
      </c>
      <c r="Y411" s="300">
        <f t="shared" si="1083"/>
        <v>276.3980000025519</v>
      </c>
    </row>
    <row r="412" spans="1:25" ht="12.45" x14ac:dyDescent="0.3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ht="12.45" x14ac:dyDescent="0.3">
      <c r="A413" s="261" t="str">
        <f>name!A59</f>
        <v>Other professional</v>
      </c>
      <c r="C413" s="263"/>
    </row>
    <row r="414" spans="1:25" ht="12.45" x14ac:dyDescent="0.3">
      <c r="A414" s="260" t="s">
        <v>356</v>
      </c>
      <c r="B414" s="300">
        <v>42.733999999378078</v>
      </c>
      <c r="C414" s="300">
        <v>21.069000000123847</v>
      </c>
      <c r="D414" s="300">
        <v>23.552000000182847</v>
      </c>
      <c r="E414" s="300">
        <f>SUM(B414:D414)</f>
        <v>87.354999999684765</v>
      </c>
      <c r="F414" s="300"/>
      <c r="G414" s="300">
        <v>52.549999999131096</v>
      </c>
      <c r="H414" s="300">
        <v>29.916000000147445</v>
      </c>
      <c r="I414" s="300">
        <v>27.867000000174929</v>
      </c>
      <c r="J414" s="300">
        <f>SUM(G414:I414)</f>
        <v>110.33299999945346</v>
      </c>
      <c r="K414" s="300"/>
      <c r="L414" s="300">
        <v>54.594999999552535</v>
      </c>
      <c r="M414" s="300">
        <v>29.266000000060846</v>
      </c>
      <c r="N414" s="300">
        <v>25.591999999416824</v>
      </c>
      <c r="O414" s="300">
        <f>SUM(L414:N414)</f>
        <v>109.45299999903021</v>
      </c>
      <c r="P414" s="300"/>
      <c r="Q414" s="300">
        <v>60.907000001228717</v>
      </c>
      <c r="R414" s="300">
        <v>32.159000000168611</v>
      </c>
      <c r="S414" s="300">
        <v>29.581999999859573</v>
      </c>
      <c r="T414" s="300">
        <f>SUM(Q414:S414)</f>
        <v>122.6480000012569</v>
      </c>
      <c r="U414" s="300"/>
      <c r="V414" s="300">
        <v>68.102000000439361</v>
      </c>
      <c r="W414" s="300">
        <v>35.503000000127813</v>
      </c>
      <c r="X414" s="300">
        <v>36.11900000016248</v>
      </c>
      <c r="Y414" s="300">
        <f>SUM(V414:X414)</f>
        <v>139.72400000072966</v>
      </c>
    </row>
    <row r="415" spans="1:25" ht="12.45" x14ac:dyDescent="0.3">
      <c r="A415" s="260" t="s">
        <v>355</v>
      </c>
      <c r="B415" s="300">
        <v>71.167999998893464</v>
      </c>
      <c r="C415" s="300">
        <v>8.4050000000387346</v>
      </c>
      <c r="D415" s="300">
        <v>40.620000000547144</v>
      </c>
      <c r="E415" s="300">
        <f t="shared" ref="E415:E416" si="1094">SUM(B415:D415)</f>
        <v>120.19299999947935</v>
      </c>
      <c r="F415" s="300"/>
      <c r="G415" s="300">
        <v>80.608999999092703</v>
      </c>
      <c r="H415" s="300">
        <v>10.260000000051447</v>
      </c>
      <c r="I415" s="300">
        <v>47.54199999986956</v>
      </c>
      <c r="J415" s="300">
        <f t="shared" ref="J415:J416" si="1095">SUM(G415:I415)</f>
        <v>138.41099999901371</v>
      </c>
      <c r="K415" s="300"/>
      <c r="L415" s="300">
        <v>76.610999999660692</v>
      </c>
      <c r="M415" s="300">
        <v>9.0920000000308789</v>
      </c>
      <c r="N415" s="300">
        <v>38.382000000728802</v>
      </c>
      <c r="O415" s="300">
        <f t="shared" ref="O415:O416" si="1096">SUM(L415:N415)</f>
        <v>124.08500000042037</v>
      </c>
      <c r="P415" s="300"/>
      <c r="Q415" s="300">
        <v>84.346000000000018</v>
      </c>
      <c r="R415" s="300">
        <v>10.425000000028163</v>
      </c>
      <c r="S415" s="300">
        <v>43.057000002260295</v>
      </c>
      <c r="T415" s="300">
        <f t="shared" ref="T415:T416" si="1097">SUM(Q415:S415)</f>
        <v>137.82800000228849</v>
      </c>
      <c r="U415" s="300"/>
      <c r="V415" s="300">
        <v>90.782999999643849</v>
      </c>
      <c r="W415" s="300">
        <v>12.468000000035898</v>
      </c>
      <c r="X415" s="300">
        <v>49.03000000169768</v>
      </c>
      <c r="Y415" s="300">
        <f t="shared" ref="Y415:Y416" si="1098">SUM(V415:X415)</f>
        <v>152.28100000137744</v>
      </c>
    </row>
    <row r="416" spans="1:25" ht="12.45" x14ac:dyDescent="0.3">
      <c r="A416" s="260" t="s">
        <v>354</v>
      </c>
      <c r="B416" s="300">
        <f>SUM(B414:B415)</f>
        <v>113.90199999827155</v>
      </c>
      <c r="C416" s="300">
        <f t="shared" ref="C416" si="1099">SUM(C414:C415)</f>
        <v>29.474000000162583</v>
      </c>
      <c r="D416" s="300">
        <f t="shared" ref="D416" si="1100">SUM(D414:D415)</f>
        <v>64.172000000729994</v>
      </c>
      <c r="E416" s="300">
        <f t="shared" si="1094"/>
        <v>207.54799999916412</v>
      </c>
      <c r="F416" s="300"/>
      <c r="G416" s="300">
        <f>SUM(G414:G415)</f>
        <v>133.15899999822381</v>
      </c>
      <c r="H416" s="300">
        <f t="shared" ref="H416" si="1101">SUM(H414:H415)</f>
        <v>40.17600000019889</v>
      </c>
      <c r="I416" s="300">
        <f t="shared" ref="I416" si="1102">SUM(I414:I415)</f>
        <v>75.409000000044486</v>
      </c>
      <c r="J416" s="300">
        <f t="shared" si="1095"/>
        <v>248.74399999846719</v>
      </c>
      <c r="K416" s="300"/>
      <c r="L416" s="300">
        <f>SUM(L414:L415)</f>
        <v>131.20599999921322</v>
      </c>
      <c r="M416" s="300">
        <f t="shared" ref="M416" si="1103">SUM(M414:M415)</f>
        <v>38.358000000091721</v>
      </c>
      <c r="N416" s="300">
        <f t="shared" ref="N416" si="1104">SUM(N414:N415)</f>
        <v>63.974000000145622</v>
      </c>
      <c r="O416" s="300">
        <f t="shared" si="1096"/>
        <v>233.53799999945056</v>
      </c>
      <c r="P416" s="300"/>
      <c r="Q416" s="300">
        <f>SUM(Q414:Q415)</f>
        <v>145.25300000122874</v>
      </c>
      <c r="R416" s="300">
        <f t="shared" ref="R416" si="1105">SUM(R414:R415)</f>
        <v>42.584000000196774</v>
      </c>
      <c r="S416" s="300">
        <f t="shared" ref="S416" si="1106">SUM(S414:S415)</f>
        <v>72.639000002119872</v>
      </c>
      <c r="T416" s="300">
        <f t="shared" si="1097"/>
        <v>260.47600000354538</v>
      </c>
      <c r="U416" s="300"/>
      <c r="V416" s="300">
        <f>SUM(V414:V415)</f>
        <v>158.88500000008321</v>
      </c>
      <c r="W416" s="300">
        <f t="shared" ref="W416" si="1107">SUM(W414:W415)</f>
        <v>47.971000000163713</v>
      </c>
      <c r="X416" s="300">
        <f t="shared" ref="X416" si="1108">SUM(X414:X415)</f>
        <v>85.149000001860159</v>
      </c>
      <c r="Y416" s="300">
        <f t="shared" si="1098"/>
        <v>292.00500000210707</v>
      </c>
    </row>
    <row r="417" spans="1:25" ht="12.45" x14ac:dyDescent="0.3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ht="12.45" x14ac:dyDescent="0.3">
      <c r="A418" s="261" t="str">
        <f>name!A60</f>
        <v>Veterinary</v>
      </c>
      <c r="C418" s="263"/>
    </row>
    <row r="419" spans="1:25" ht="12.45" x14ac:dyDescent="0.3">
      <c r="A419" s="260" t="s">
        <v>356</v>
      </c>
      <c r="B419" s="300">
        <v>16.992999999828697</v>
      </c>
      <c r="C419" s="300">
        <v>11.852999999779056</v>
      </c>
      <c r="D419" s="300">
        <v>14.309999998900706</v>
      </c>
      <c r="E419" s="300">
        <f>SUM(B419:D419)</f>
        <v>43.155999998508463</v>
      </c>
      <c r="F419" s="300"/>
      <c r="G419" s="300">
        <v>25.964999999731607</v>
      </c>
      <c r="H419" s="300">
        <v>20.242999999743105</v>
      </c>
      <c r="I419" s="300">
        <v>23.282999998295789</v>
      </c>
      <c r="J419" s="300">
        <f>SUM(G419:I419)</f>
        <v>69.490999997770501</v>
      </c>
      <c r="K419" s="300"/>
      <c r="L419" s="300">
        <v>26.596999999858571</v>
      </c>
      <c r="M419" s="300">
        <v>19.507999999667412</v>
      </c>
      <c r="N419" s="300">
        <v>19.237000001386729</v>
      </c>
      <c r="O419" s="300">
        <f>SUM(L419:N419)</f>
        <v>65.342000000912719</v>
      </c>
      <c r="P419" s="300"/>
      <c r="Q419" s="300">
        <v>29.77699999976614</v>
      </c>
      <c r="R419" s="300">
        <v>21.717999999331241</v>
      </c>
      <c r="S419" s="300">
        <v>22.497000000031949</v>
      </c>
      <c r="T419" s="300">
        <f>SUM(Q419:S419)</f>
        <v>73.991999999129334</v>
      </c>
      <c r="U419" s="300"/>
      <c r="V419" s="300">
        <v>33.630000000143212</v>
      </c>
      <c r="W419" s="300">
        <v>24.414999999984527</v>
      </c>
      <c r="X419" s="300">
        <v>28.08299999995392</v>
      </c>
      <c r="Y419" s="300">
        <f>SUM(V419:X419)</f>
        <v>86.12800000008167</v>
      </c>
    </row>
    <row r="420" spans="1:25" ht="12.45" x14ac:dyDescent="0.3">
      <c r="A420" s="260" t="s">
        <v>355</v>
      </c>
      <c r="B420" s="300">
        <v>17.647999999883936</v>
      </c>
      <c r="C420" s="300">
        <v>4.1239999999827734</v>
      </c>
      <c r="D420" s="300">
        <v>3.6900000001692779</v>
      </c>
      <c r="E420" s="300">
        <f t="shared" ref="E420:E421" si="1109">SUM(B420:D420)</f>
        <v>25.462000000035985</v>
      </c>
      <c r="F420" s="300"/>
      <c r="G420" s="300">
        <v>24.620999999896224</v>
      </c>
      <c r="H420" s="300">
        <v>6.1529999999748179</v>
      </c>
      <c r="I420" s="300">
        <v>5.3629999999657141</v>
      </c>
      <c r="J420" s="300">
        <f t="shared" ref="J420:J421" si="1110">SUM(G420:I420)</f>
        <v>36.136999999836753</v>
      </c>
      <c r="K420" s="300"/>
      <c r="L420" s="300">
        <v>23.389999999853956</v>
      </c>
      <c r="M420" s="300">
        <v>5.9580000000087132</v>
      </c>
      <c r="N420" s="300">
        <v>4.4450000001067558</v>
      </c>
      <c r="O420" s="300">
        <f t="shared" ref="O420:O421" si="1111">SUM(L420:N420)</f>
        <v>33.792999999969425</v>
      </c>
      <c r="P420" s="300"/>
      <c r="Q420" s="300">
        <v>26.00099999984652</v>
      </c>
      <c r="R420" s="300">
        <v>6.9009999999954434</v>
      </c>
      <c r="S420" s="300">
        <v>5.0180000005121261</v>
      </c>
      <c r="T420" s="300">
        <f t="shared" ref="T420:T421" si="1112">SUM(Q420:S420)</f>
        <v>37.920000000354086</v>
      </c>
      <c r="U420" s="300"/>
      <c r="V420" s="300">
        <v>28.659999999806239</v>
      </c>
      <c r="W420" s="300">
        <v>8.385999999971931</v>
      </c>
      <c r="X420" s="300">
        <v>5.8260000004113097</v>
      </c>
      <c r="Y420" s="300">
        <f t="shared" ref="Y420:Y421" si="1113">SUM(V420:X420)</f>
        <v>42.87200000018948</v>
      </c>
    </row>
    <row r="421" spans="1:25" ht="12.45" x14ac:dyDescent="0.3">
      <c r="A421" s="260" t="s">
        <v>354</v>
      </c>
      <c r="B421" s="300">
        <f>SUM(B419:B420)</f>
        <v>34.640999999712633</v>
      </c>
      <c r="C421" s="300">
        <f t="shared" ref="C421" si="1114">SUM(C419:C420)</f>
        <v>15.97699999976183</v>
      </c>
      <c r="D421" s="300">
        <f t="shared" ref="D421" si="1115">SUM(D419:D420)</f>
        <v>17.999999999069985</v>
      </c>
      <c r="E421" s="300">
        <f t="shared" si="1109"/>
        <v>68.617999998544448</v>
      </c>
      <c r="F421" s="300"/>
      <c r="G421" s="300">
        <f>SUM(G419:G420)</f>
        <v>50.58599999962783</v>
      </c>
      <c r="H421" s="300">
        <f t="shared" ref="H421" si="1116">SUM(H419:H420)</f>
        <v>26.395999999717922</v>
      </c>
      <c r="I421" s="300">
        <f t="shared" ref="I421" si="1117">SUM(I419:I420)</f>
        <v>28.645999998261502</v>
      </c>
      <c r="J421" s="300">
        <f t="shared" si="1110"/>
        <v>105.62799999760726</v>
      </c>
      <c r="K421" s="300"/>
      <c r="L421" s="300">
        <f>SUM(L419:L420)</f>
        <v>49.986999999712523</v>
      </c>
      <c r="M421" s="300">
        <f t="shared" ref="M421" si="1118">SUM(M419:M420)</f>
        <v>25.465999999676125</v>
      </c>
      <c r="N421" s="300">
        <f t="shared" ref="N421" si="1119">SUM(N419:N420)</f>
        <v>23.682000001493485</v>
      </c>
      <c r="O421" s="300">
        <f t="shared" si="1111"/>
        <v>99.135000000882144</v>
      </c>
      <c r="P421" s="300"/>
      <c r="Q421" s="300">
        <f>SUM(Q419:Q420)</f>
        <v>55.777999999612661</v>
      </c>
      <c r="R421" s="300">
        <f t="shared" ref="R421" si="1120">SUM(R419:R420)</f>
        <v>28.618999999326682</v>
      </c>
      <c r="S421" s="300">
        <f t="shared" ref="S421" si="1121">SUM(S419:S420)</f>
        <v>27.515000000544077</v>
      </c>
      <c r="T421" s="300">
        <f t="shared" si="1112"/>
        <v>111.91199999948343</v>
      </c>
      <c r="U421" s="300"/>
      <c r="V421" s="300">
        <f>SUM(V419:V420)</f>
        <v>62.289999999949451</v>
      </c>
      <c r="W421" s="300">
        <f t="shared" ref="W421" si="1122">SUM(W419:W420)</f>
        <v>32.80099999995646</v>
      </c>
      <c r="X421" s="300">
        <f t="shared" ref="X421" si="1123">SUM(X419:X420)</f>
        <v>33.909000000365232</v>
      </c>
      <c r="Y421" s="300">
        <f t="shared" si="1113"/>
        <v>129.00000000027114</v>
      </c>
    </row>
    <row r="423" spans="1:25" x14ac:dyDescent="0.35">
      <c r="A423" s="261" t="s">
        <v>361</v>
      </c>
    </row>
    <row r="424" spans="1:25" ht="12.45" x14ac:dyDescent="0.3">
      <c r="A424" s="260" t="s">
        <v>356</v>
      </c>
      <c r="B424" s="300">
        <f>SUM(B389,B394,B399,B404,B409,B414,B419)</f>
        <v>678.00699998773678</v>
      </c>
      <c r="C424" s="300">
        <f t="shared" ref="C424:D425" si="1124">SUM(C389,C394,C399,C404,C409,C414,C419)</f>
        <v>324.50299999853746</v>
      </c>
      <c r="D424" s="300">
        <f t="shared" si="1124"/>
        <v>187.59399999914012</v>
      </c>
      <c r="E424" s="300">
        <f>SUM(B424:D424)</f>
        <v>1190.1039999854142</v>
      </c>
      <c r="F424" s="300"/>
      <c r="G424" s="300">
        <f>SUM(G389,G394,G399,G404,G409,G414,G419)</f>
        <v>763.79699998410615</v>
      </c>
      <c r="H424" s="300">
        <f t="shared" ref="H424:I424" si="1125">SUM(H389,H394,H399,H404,H409,H414,H419)</f>
        <v>362.72099999889002</v>
      </c>
      <c r="I424" s="300">
        <f t="shared" si="1125"/>
        <v>186.34999999819723</v>
      </c>
      <c r="J424" s="300">
        <f>SUM(G424:I424)</f>
        <v>1312.8679999811934</v>
      </c>
      <c r="K424" s="300"/>
      <c r="L424" s="300">
        <f>SUM(L389,L394,L399,L404,L409,L414,L419)</f>
        <v>757.22799999252709</v>
      </c>
      <c r="M424" s="300">
        <f t="shared" ref="M424:N424" si="1126">SUM(M389,M394,M399,M404,M409,M414,M419)</f>
        <v>362.68599999922498</v>
      </c>
      <c r="N424" s="300">
        <f t="shared" si="1126"/>
        <v>174.71599999837179</v>
      </c>
      <c r="O424" s="300">
        <f>SUM(L424:N424)</f>
        <v>1294.6299999901239</v>
      </c>
      <c r="P424" s="300"/>
      <c r="Q424" s="300">
        <f>SUM(Q389,Q394,Q399,Q404,Q409,Q414,Q419)</f>
        <v>801.80800001698083</v>
      </c>
      <c r="R424" s="300">
        <f t="shared" ref="R424:S424" si="1127">SUM(R389,R394,R399,R404,R409,R414,R419)</f>
        <v>385.12500000044781</v>
      </c>
      <c r="S424" s="300">
        <f t="shared" si="1127"/>
        <v>189.86699999919711</v>
      </c>
      <c r="T424" s="300">
        <f>SUM(Q424:S424)</f>
        <v>1376.8000000166257</v>
      </c>
      <c r="U424" s="300"/>
      <c r="V424" s="300">
        <f>SUM(V389,V394,V399,V404,V409,V414,V419)</f>
        <v>858.28700000632091</v>
      </c>
      <c r="W424" s="300">
        <f t="shared" ref="W424:X424" si="1128">SUM(W389,W394,W399,W404,W409,W414,W419)</f>
        <v>415.81800000241191</v>
      </c>
      <c r="X424" s="300">
        <f t="shared" si="1128"/>
        <v>212.90100000126139</v>
      </c>
      <c r="Y424" s="300">
        <f>SUM(V424:X424)</f>
        <v>1487.0060000099941</v>
      </c>
    </row>
    <row r="425" spans="1:25" ht="12.45" x14ac:dyDescent="0.3">
      <c r="A425" s="260" t="s">
        <v>355</v>
      </c>
      <c r="B425" s="300">
        <f>SUM(B390,B395,B400,B405,B410,B415,B420)</f>
        <v>1024.2379999788382</v>
      </c>
      <c r="C425" s="300">
        <f t="shared" si="1124"/>
        <v>117.64199999868656</v>
      </c>
      <c r="D425" s="300">
        <f t="shared" si="1124"/>
        <v>275.94700000322183</v>
      </c>
      <c r="E425" s="300">
        <f t="shared" ref="E425:E426" si="1129">SUM(B425:D425)</f>
        <v>1417.8269999807465</v>
      </c>
      <c r="F425" s="300"/>
      <c r="G425" s="300">
        <f>SUM(G390,G395,G400,G405,G410,G415,G420)</f>
        <v>1103.2319999842073</v>
      </c>
      <c r="H425" s="300">
        <f t="shared" ref="H425:I425" si="1130">SUM(H390,H395,H400,H405,H410,H415,H420)</f>
        <v>133.29899999884526</v>
      </c>
      <c r="I425" s="300">
        <f t="shared" si="1130"/>
        <v>332.35399999826438</v>
      </c>
      <c r="J425" s="300">
        <f t="shared" ref="J425:J426" si="1131">SUM(G425:I425)</f>
        <v>1568.8849999813169</v>
      </c>
      <c r="K425" s="300"/>
      <c r="L425" s="300">
        <f>SUM(L390,L395,L400,L405,L410,L415,L420)</f>
        <v>1083.3639999919828</v>
      </c>
      <c r="M425" s="300">
        <f t="shared" ref="M425:N425" si="1132">SUM(M390,M395,M400,M405,M410,M415,M420)</f>
        <v>164.04800000017178</v>
      </c>
      <c r="N425" s="300">
        <f t="shared" si="1132"/>
        <v>265.12300000594848</v>
      </c>
      <c r="O425" s="300">
        <f t="shared" ref="O425:O426" si="1133">SUM(L425:N425)</f>
        <v>1512.5349999981031</v>
      </c>
      <c r="P425" s="300"/>
      <c r="Q425" s="300">
        <f>SUM(Q390,Q395,Q400,Q405,Q410,Q415,Q420)</f>
        <v>1117.1929999981646</v>
      </c>
      <c r="R425" s="300">
        <f t="shared" ref="R425:S425" si="1134">SUM(R390,R395,R400,R405,R410,R415,R420)</f>
        <v>175.25500000001912</v>
      </c>
      <c r="S425" s="300">
        <f t="shared" si="1134"/>
        <v>279.5080000175459</v>
      </c>
      <c r="T425" s="300">
        <f t="shared" ref="T425:T426" si="1135">SUM(Q425:S425)</f>
        <v>1571.9560000157298</v>
      </c>
      <c r="U425" s="300"/>
      <c r="V425" s="300">
        <f>SUM(V390,V395,V400,V405,V410,V415,V420)</f>
        <v>1159.7379999940808</v>
      </c>
      <c r="W425" s="300">
        <f t="shared" ref="W425:X425" si="1136">SUM(W390,W395,W400,W405,W410,W415,W420)</f>
        <v>194.27399999997931</v>
      </c>
      <c r="X425" s="300">
        <f t="shared" si="1136"/>
        <v>299.80600001224525</v>
      </c>
      <c r="Y425" s="300">
        <f t="shared" ref="Y425:Y426" si="1137">SUM(V425:X425)</f>
        <v>1653.8180000063055</v>
      </c>
    </row>
    <row r="426" spans="1:25" ht="12.45" x14ac:dyDescent="0.3">
      <c r="A426" s="264" t="s">
        <v>354</v>
      </c>
      <c r="B426" s="301">
        <f>SUM(B424:B425)</f>
        <v>1702.2449999665751</v>
      </c>
      <c r="C426" s="301">
        <f t="shared" ref="C426" si="1138">SUM(C424:C425)</f>
        <v>442.14499999722403</v>
      </c>
      <c r="D426" s="301">
        <f t="shared" ref="D426" si="1139">SUM(D424:D425)</f>
        <v>463.54100000236195</v>
      </c>
      <c r="E426" s="301">
        <f t="shared" si="1129"/>
        <v>2607.9309999661614</v>
      </c>
      <c r="F426" s="301"/>
      <c r="G426" s="301">
        <f>SUM(G424:G425)</f>
        <v>1867.0289999683134</v>
      </c>
      <c r="H426" s="301">
        <f t="shared" ref="H426" si="1140">SUM(H424:H425)</f>
        <v>496.01999999773528</v>
      </c>
      <c r="I426" s="301">
        <f t="shared" ref="I426" si="1141">SUM(I424:I425)</f>
        <v>518.70399999646156</v>
      </c>
      <c r="J426" s="301">
        <f t="shared" si="1131"/>
        <v>2881.7529999625103</v>
      </c>
      <c r="K426" s="301"/>
      <c r="L426" s="301">
        <f>SUM(L424:L425)</f>
        <v>1840.59199998451</v>
      </c>
      <c r="M426" s="301">
        <f t="shared" ref="M426" si="1142">SUM(M424:M425)</f>
        <v>526.7339999993967</v>
      </c>
      <c r="N426" s="301">
        <f t="shared" ref="N426" si="1143">SUM(N424:N425)</f>
        <v>439.83900000432027</v>
      </c>
      <c r="O426" s="301">
        <f t="shared" si="1133"/>
        <v>2807.1649999882266</v>
      </c>
      <c r="P426" s="301"/>
      <c r="Q426" s="301">
        <f>SUM(Q424:Q425)</f>
        <v>1919.0010000151456</v>
      </c>
      <c r="R426" s="301">
        <f t="shared" ref="R426" si="1144">SUM(R424:R425)</f>
        <v>560.38000000046691</v>
      </c>
      <c r="S426" s="301">
        <f t="shared" ref="S426" si="1145">SUM(S424:S425)</f>
        <v>469.375000016743</v>
      </c>
      <c r="T426" s="301">
        <f t="shared" si="1135"/>
        <v>2948.7560000323556</v>
      </c>
      <c r="U426" s="301"/>
      <c r="V426" s="301">
        <f>SUM(V424:V425)</f>
        <v>2018.0250000004016</v>
      </c>
      <c r="W426" s="301">
        <f t="shared" ref="W426" si="1146">SUM(W424:W425)</f>
        <v>610.09200000239116</v>
      </c>
      <c r="X426" s="301">
        <f t="shared" ref="X426" si="1147">SUM(X424:X425)</f>
        <v>512.70700001350667</v>
      </c>
      <c r="Y426" s="301">
        <f t="shared" si="1137"/>
        <v>3140.8240000162996</v>
      </c>
    </row>
    <row r="427" spans="1:25" ht="12.45" x14ac:dyDescent="0.3">
      <c r="C427" s="263"/>
    </row>
    <row r="428" spans="1:25" x14ac:dyDescent="0.35">
      <c r="A428" s="261"/>
    </row>
    <row r="429" spans="1:25" ht="12.45" x14ac:dyDescent="0.3">
      <c r="C429" s="263"/>
    </row>
    <row r="430" spans="1:25" ht="14.15" x14ac:dyDescent="0.35">
      <c r="A430" s="265" t="str">
        <f>"Industry 17 : "&amp; name!B20</f>
        <v>Industry 17 : Support services</v>
      </c>
      <c r="B430" s="372">
        <f>$B$5</f>
        <v>2015</v>
      </c>
      <c r="C430" s="372"/>
      <c r="D430" s="372"/>
      <c r="E430" s="372"/>
      <c r="F430" s="320"/>
      <c r="G430" s="372">
        <f>$G$5</f>
        <v>2019</v>
      </c>
      <c r="H430" s="372"/>
      <c r="I430" s="372"/>
      <c r="J430" s="372"/>
      <c r="K430" s="320"/>
      <c r="L430" s="372">
        <f>$L$5</f>
        <v>2020</v>
      </c>
      <c r="M430" s="372"/>
      <c r="N430" s="372"/>
      <c r="O430" s="372"/>
      <c r="P430" s="318"/>
      <c r="Q430" s="372">
        <f>$Q$5</f>
        <v>2025</v>
      </c>
      <c r="R430" s="372"/>
      <c r="S430" s="372"/>
      <c r="T430" s="372"/>
      <c r="U430" s="320"/>
      <c r="V430" s="372">
        <f>$V$5</f>
        <v>2035</v>
      </c>
      <c r="W430" s="372"/>
      <c r="X430" s="372"/>
      <c r="Y430" s="372"/>
    </row>
    <row r="431" spans="1:25" ht="12.45" x14ac:dyDescent="0.3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35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ht="12.45" x14ac:dyDescent="0.3">
      <c r="A433" s="261" t="str">
        <f>name!A61</f>
        <v>Rental and leasing</v>
      </c>
      <c r="C433" s="263"/>
    </row>
    <row r="434" spans="1:25" ht="12.45" x14ac:dyDescent="0.3">
      <c r="A434" s="260" t="s">
        <v>356</v>
      </c>
      <c r="B434" s="300">
        <v>15.866999999902983</v>
      </c>
      <c r="C434" s="300">
        <v>7.9180000001425244</v>
      </c>
      <c r="D434" s="300">
        <v>4.987000000039342</v>
      </c>
      <c r="E434" s="300">
        <f>SUM(B434:D434)</f>
        <v>28.772000000084848</v>
      </c>
      <c r="F434" s="300"/>
      <c r="G434" s="300">
        <v>15.867999999875192</v>
      </c>
      <c r="H434" s="300">
        <v>8.9440000001428359</v>
      </c>
      <c r="I434" s="300">
        <v>5.6330000000188241</v>
      </c>
      <c r="J434" s="300">
        <f>SUM(G434:I434)</f>
        <v>30.445000000036853</v>
      </c>
      <c r="K434" s="300"/>
      <c r="L434" s="300">
        <v>15.380999999899343</v>
      </c>
      <c r="M434" s="300">
        <v>8.5870000001423126</v>
      </c>
      <c r="N434" s="300">
        <v>4.8569999999474538</v>
      </c>
      <c r="O434" s="300">
        <f>SUM(L434:N434)</f>
        <v>28.82499999998911</v>
      </c>
      <c r="P434" s="300"/>
      <c r="Q434" s="300">
        <v>16.681000000400708</v>
      </c>
      <c r="R434" s="300">
        <v>8.9320000002778404</v>
      </c>
      <c r="S434" s="300">
        <v>5.0919999999681611</v>
      </c>
      <c r="T434" s="300">
        <f>SUM(Q434:S434)</f>
        <v>30.705000000646706</v>
      </c>
      <c r="U434" s="300"/>
      <c r="V434" s="300">
        <v>18.307999999876628</v>
      </c>
      <c r="W434" s="300">
        <v>9.2509999999917323</v>
      </c>
      <c r="X434" s="300">
        <v>5.5320000000005418</v>
      </c>
      <c r="Y434" s="300">
        <f>SUM(V434:X434)</f>
        <v>33.090999999868906</v>
      </c>
    </row>
    <row r="435" spans="1:25" ht="12.45" x14ac:dyDescent="0.3">
      <c r="A435" s="260" t="s">
        <v>355</v>
      </c>
      <c r="B435" s="300">
        <v>91.329999999896756</v>
      </c>
      <c r="C435" s="300">
        <v>12.421000000120404</v>
      </c>
      <c r="D435" s="300">
        <v>14.414000000185451</v>
      </c>
      <c r="E435" s="300">
        <f t="shared" ref="E435:E436" si="1148">SUM(B435:D435)</f>
        <v>118.16500000020261</v>
      </c>
      <c r="F435" s="300"/>
      <c r="G435" s="300">
        <v>86.534999999932396</v>
      </c>
      <c r="H435" s="300">
        <v>13.60400000011705</v>
      </c>
      <c r="I435" s="300">
        <v>13.48999999998636</v>
      </c>
      <c r="J435" s="300">
        <f t="shared" ref="J435:J436" si="1149">SUM(G435:I435)</f>
        <v>113.6290000000358</v>
      </c>
      <c r="K435" s="300"/>
      <c r="L435" s="300">
        <v>83.27099999996129</v>
      </c>
      <c r="M435" s="300">
        <v>12.715999999990576</v>
      </c>
      <c r="N435" s="300">
        <v>11.411000000107025</v>
      </c>
      <c r="O435" s="300">
        <f t="shared" ref="O435:O436" si="1150">SUM(L435:N435)</f>
        <v>107.39800000005889</v>
      </c>
      <c r="P435" s="300"/>
      <c r="Q435" s="300">
        <v>88.400000000096725</v>
      </c>
      <c r="R435" s="300">
        <v>13.441000000017945</v>
      </c>
      <c r="S435" s="300">
        <v>11.972000000304634</v>
      </c>
      <c r="T435" s="300">
        <f t="shared" ref="T435:T436" si="1151">SUM(Q435:S435)</f>
        <v>113.81300000041931</v>
      </c>
      <c r="U435" s="300"/>
      <c r="V435" s="300">
        <v>94.729000000035157</v>
      </c>
      <c r="W435" s="300">
        <v>14.298000000053998</v>
      </c>
      <c r="X435" s="300">
        <v>12.944000000215754</v>
      </c>
      <c r="Y435" s="300">
        <f t="shared" ref="Y435:Y436" si="1152">SUM(V435:X435)</f>
        <v>121.97100000030491</v>
      </c>
    </row>
    <row r="436" spans="1:25" ht="12.45" x14ac:dyDescent="0.3">
      <c r="A436" s="260" t="s">
        <v>354</v>
      </c>
      <c r="B436" s="300">
        <f>SUM(B434:B435)</f>
        <v>107.19699999979974</v>
      </c>
      <c r="C436" s="300">
        <f t="shared" ref="C436" si="1153">SUM(C434:C435)</f>
        <v>20.339000000262928</v>
      </c>
      <c r="D436" s="300">
        <f t="shared" ref="D436" si="1154">SUM(D434:D435)</f>
        <v>19.401000000224794</v>
      </c>
      <c r="E436" s="300">
        <f t="shared" si="1148"/>
        <v>146.93700000028747</v>
      </c>
      <c r="F436" s="300"/>
      <c r="G436" s="300">
        <f>SUM(G434:G435)</f>
        <v>102.40299999980759</v>
      </c>
      <c r="H436" s="300">
        <f t="shared" ref="H436" si="1155">SUM(H434:H435)</f>
        <v>22.548000000259886</v>
      </c>
      <c r="I436" s="300">
        <f t="shared" ref="I436" si="1156">SUM(I434:I435)</f>
        <v>19.123000000005185</v>
      </c>
      <c r="J436" s="300">
        <f t="shared" si="1149"/>
        <v>144.07400000007266</v>
      </c>
      <c r="K436" s="300"/>
      <c r="L436" s="300">
        <f>SUM(L434:L435)</f>
        <v>98.651999999860635</v>
      </c>
      <c r="M436" s="300">
        <f t="shared" ref="M436" si="1157">SUM(M434:M435)</f>
        <v>21.30300000013289</v>
      </c>
      <c r="N436" s="300">
        <f t="shared" ref="N436" si="1158">SUM(N434:N435)</f>
        <v>16.268000000054478</v>
      </c>
      <c r="O436" s="300">
        <f t="shared" si="1150"/>
        <v>136.22300000004802</v>
      </c>
      <c r="P436" s="300"/>
      <c r="Q436" s="300">
        <f>SUM(Q434:Q435)</f>
        <v>105.08100000049743</v>
      </c>
      <c r="R436" s="300">
        <f t="shared" ref="R436" si="1159">SUM(R434:R435)</f>
        <v>22.373000000295786</v>
      </c>
      <c r="S436" s="300">
        <f t="shared" ref="S436" si="1160">SUM(S434:S435)</f>
        <v>17.064000000272795</v>
      </c>
      <c r="T436" s="300">
        <f t="shared" si="1151"/>
        <v>144.51800000106601</v>
      </c>
      <c r="U436" s="300"/>
      <c r="V436" s="300">
        <f>SUM(V434:V435)</f>
        <v>113.03699999991179</v>
      </c>
      <c r="W436" s="300">
        <f t="shared" ref="W436" si="1161">SUM(W434:W435)</f>
        <v>23.54900000004573</v>
      </c>
      <c r="X436" s="300">
        <f t="shared" ref="X436" si="1162">SUM(X434:X435)</f>
        <v>18.476000000216295</v>
      </c>
      <c r="Y436" s="300">
        <f t="shared" si="1152"/>
        <v>155.06200000017381</v>
      </c>
    </row>
    <row r="437" spans="1:25" ht="12.45" x14ac:dyDescent="0.3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ht="12.45" x14ac:dyDescent="0.3">
      <c r="A438" s="261" t="str">
        <f>name!A62</f>
        <v>Employment activities</v>
      </c>
      <c r="C438" s="263"/>
    </row>
    <row r="439" spans="1:25" ht="12.45" x14ac:dyDescent="0.3">
      <c r="A439" s="260" t="s">
        <v>356</v>
      </c>
      <c r="B439" s="300">
        <v>187.60599999986408</v>
      </c>
      <c r="C439" s="300">
        <v>102.2880000014616</v>
      </c>
      <c r="D439" s="300">
        <v>50.261000000937173</v>
      </c>
      <c r="E439" s="300">
        <f>SUM(B439:D439)</f>
        <v>340.15500000226291</v>
      </c>
      <c r="F439" s="300"/>
      <c r="G439" s="300">
        <v>183.85399999938141</v>
      </c>
      <c r="H439" s="300">
        <v>116.34800000141425</v>
      </c>
      <c r="I439" s="300">
        <v>58.313000000869827</v>
      </c>
      <c r="J439" s="300">
        <f>SUM(G439:I439)</f>
        <v>358.5150000016655</v>
      </c>
      <c r="K439" s="300"/>
      <c r="L439" s="300">
        <v>176.6299999995789</v>
      </c>
      <c r="M439" s="300">
        <v>109.70100000048694</v>
      </c>
      <c r="N439" s="300">
        <v>48.9139999988139</v>
      </c>
      <c r="O439" s="300">
        <f>SUM(L439:N439)</f>
        <v>335.24499999887973</v>
      </c>
      <c r="P439" s="300"/>
      <c r="Q439" s="300">
        <v>190.90900000261277</v>
      </c>
      <c r="R439" s="300">
        <v>114.28500000081078</v>
      </c>
      <c r="S439" s="300">
        <v>51.290999999599073</v>
      </c>
      <c r="T439" s="300">
        <f>SUM(Q439:S439)</f>
        <v>356.48500000302261</v>
      </c>
      <c r="U439" s="300"/>
      <c r="V439" s="300">
        <v>208.98599999859891</v>
      </c>
      <c r="W439" s="300">
        <v>118.21899999992715</v>
      </c>
      <c r="X439" s="300">
        <v>55.661999999972302</v>
      </c>
      <c r="Y439" s="300">
        <f>SUM(V439:X439)</f>
        <v>382.86699999849839</v>
      </c>
    </row>
    <row r="440" spans="1:25" ht="12.45" x14ac:dyDescent="0.3">
      <c r="A440" s="260" t="s">
        <v>355</v>
      </c>
      <c r="B440" s="300">
        <v>357.92000000073256</v>
      </c>
      <c r="C440" s="300">
        <v>160.1710000022058</v>
      </c>
      <c r="D440" s="300">
        <v>58.623000000976432</v>
      </c>
      <c r="E440" s="300">
        <f t="shared" ref="E440:E441" si="1163">SUM(B440:D440)</f>
        <v>576.71400000391475</v>
      </c>
      <c r="F440" s="300"/>
      <c r="G440" s="300">
        <v>328.64900000049897</v>
      </c>
      <c r="H440" s="300">
        <v>183.91800000226002</v>
      </c>
      <c r="I440" s="300">
        <v>59.32300000028885</v>
      </c>
      <c r="J440" s="300">
        <f t="shared" ref="J440:J441" si="1164">SUM(G440:I440)</f>
        <v>571.89000000304782</v>
      </c>
      <c r="K440" s="300"/>
      <c r="L440" s="300">
        <v>320.10000000027168</v>
      </c>
      <c r="M440" s="300">
        <v>170.93000000022647</v>
      </c>
      <c r="N440" s="300">
        <v>48.272000000730216</v>
      </c>
      <c r="O440" s="300">
        <f t="shared" ref="O440:O441" si="1165">SUM(L440:N440)</f>
        <v>539.30200000122841</v>
      </c>
      <c r="P440" s="300"/>
      <c r="Q440" s="300">
        <v>339.92400000019722</v>
      </c>
      <c r="R440" s="300">
        <v>180.93200000014068</v>
      </c>
      <c r="S440" s="300">
        <v>50.620000001776511</v>
      </c>
      <c r="T440" s="300">
        <f t="shared" ref="T440:T441" si="1166">SUM(Q440:S440)</f>
        <v>571.47600000211435</v>
      </c>
      <c r="U440" s="300"/>
      <c r="V440" s="300">
        <v>364.11199999997211</v>
      </c>
      <c r="W440" s="300">
        <v>191.97400000046332</v>
      </c>
      <c r="X440" s="300">
        <v>54.659000001420885</v>
      </c>
      <c r="Y440" s="300">
        <f t="shared" ref="Y440:Y441" si="1167">SUM(V440:X440)</f>
        <v>610.74500000185628</v>
      </c>
    </row>
    <row r="441" spans="1:25" ht="12.45" x14ac:dyDescent="0.3">
      <c r="A441" s="260" t="s">
        <v>354</v>
      </c>
      <c r="B441" s="300">
        <f>SUM(B439:B440)</f>
        <v>545.5260000005967</v>
      </c>
      <c r="C441" s="300">
        <f t="shared" ref="C441" si="1168">SUM(C439:C440)</f>
        <v>262.45900000366737</v>
      </c>
      <c r="D441" s="300">
        <f t="shared" ref="D441" si="1169">SUM(D439:D440)</f>
        <v>108.88400000191361</v>
      </c>
      <c r="E441" s="300">
        <f t="shared" si="1163"/>
        <v>916.86900000617766</v>
      </c>
      <c r="F441" s="300"/>
      <c r="G441" s="300">
        <f>SUM(G439:G440)</f>
        <v>512.50299999988033</v>
      </c>
      <c r="H441" s="300">
        <f t="shared" ref="H441" si="1170">SUM(H439:H440)</f>
        <v>300.26600000367426</v>
      </c>
      <c r="I441" s="300">
        <f t="shared" ref="I441" si="1171">SUM(I439:I440)</f>
        <v>117.63600000115868</v>
      </c>
      <c r="J441" s="300">
        <f t="shared" si="1164"/>
        <v>930.4050000047132</v>
      </c>
      <c r="K441" s="300"/>
      <c r="L441" s="300">
        <f>SUM(L439:L440)</f>
        <v>496.72999999985058</v>
      </c>
      <c r="M441" s="300">
        <f t="shared" ref="M441" si="1172">SUM(M439:M440)</f>
        <v>280.63100000071341</v>
      </c>
      <c r="N441" s="300">
        <f t="shared" ref="N441" si="1173">SUM(N439:N440)</f>
        <v>97.185999999544123</v>
      </c>
      <c r="O441" s="300">
        <f t="shared" si="1165"/>
        <v>874.54700000010814</v>
      </c>
      <c r="P441" s="300"/>
      <c r="Q441" s="300">
        <f>SUM(Q439:Q440)</f>
        <v>530.83300000280997</v>
      </c>
      <c r="R441" s="300">
        <f t="shared" ref="R441" si="1174">SUM(R439:R440)</f>
        <v>295.21700000095143</v>
      </c>
      <c r="S441" s="300">
        <f t="shared" ref="S441" si="1175">SUM(S439:S440)</f>
        <v>101.91100000137558</v>
      </c>
      <c r="T441" s="300">
        <f t="shared" si="1166"/>
        <v>927.96100000513695</v>
      </c>
      <c r="U441" s="300"/>
      <c r="V441" s="300">
        <f>SUM(V439:V440)</f>
        <v>573.09799999857103</v>
      </c>
      <c r="W441" s="300">
        <f t="shared" ref="W441" si="1176">SUM(W439:W440)</f>
        <v>310.1930000003905</v>
      </c>
      <c r="X441" s="300">
        <f t="shared" ref="X441" si="1177">SUM(X439:X440)</f>
        <v>110.32100000139319</v>
      </c>
      <c r="Y441" s="300">
        <f t="shared" si="1167"/>
        <v>993.61200000035467</v>
      </c>
    </row>
    <row r="442" spans="1:25" ht="12.45" x14ac:dyDescent="0.3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ht="12.45" x14ac:dyDescent="0.3">
      <c r="A443" s="261" t="str">
        <f>name!A63</f>
        <v>Travel, etc</v>
      </c>
      <c r="C443" s="263"/>
    </row>
    <row r="444" spans="1:25" ht="12.45" x14ac:dyDescent="0.3">
      <c r="A444" s="260" t="s">
        <v>356</v>
      </c>
      <c r="B444" s="300">
        <v>12.538999999960502</v>
      </c>
      <c r="C444" s="300">
        <v>6.7980000001086349</v>
      </c>
      <c r="D444" s="300">
        <v>7.2990000001511968</v>
      </c>
      <c r="E444" s="300">
        <f>SUM(B444:D444)</f>
        <v>26.636000000220335</v>
      </c>
      <c r="F444" s="300"/>
      <c r="G444" s="300">
        <v>12.818999999908741</v>
      </c>
      <c r="H444" s="300">
        <v>7.331000000122164</v>
      </c>
      <c r="I444" s="300">
        <v>9.1260000002076165</v>
      </c>
      <c r="J444" s="300">
        <f>SUM(G444:I444)</f>
        <v>29.276000000238518</v>
      </c>
      <c r="K444" s="300"/>
      <c r="L444" s="300">
        <v>12.213999999880127</v>
      </c>
      <c r="M444" s="300">
        <v>7.0130000000974277</v>
      </c>
      <c r="N444" s="300">
        <v>7.485999999815145</v>
      </c>
      <c r="O444" s="300">
        <f>SUM(L444:N444)</f>
        <v>26.7129999997927</v>
      </c>
      <c r="P444" s="300"/>
      <c r="Q444" s="300">
        <v>13.176000000366942</v>
      </c>
      <c r="R444" s="300">
        <v>7.3100000001702279</v>
      </c>
      <c r="S444" s="300">
        <v>7.8159999999861407</v>
      </c>
      <c r="T444" s="300">
        <f>SUM(Q444:S444)</f>
        <v>28.302000000523311</v>
      </c>
      <c r="U444" s="300"/>
      <c r="V444" s="300">
        <v>14.412999999844621</v>
      </c>
      <c r="W444" s="300">
        <v>7.595999999995704</v>
      </c>
      <c r="X444" s="300">
        <v>8.4899999999855851</v>
      </c>
      <c r="Y444" s="300">
        <f>SUM(V444:X444)</f>
        <v>30.498999999825909</v>
      </c>
    </row>
    <row r="445" spans="1:25" ht="12.45" x14ac:dyDescent="0.3">
      <c r="A445" s="260" t="s">
        <v>355</v>
      </c>
      <c r="B445" s="300">
        <v>43.672000000382909</v>
      </c>
      <c r="C445" s="300">
        <v>11.831000000188698</v>
      </c>
      <c r="D445" s="300">
        <v>3.0060000000485338</v>
      </c>
      <c r="E445" s="300">
        <f t="shared" ref="E445:E446" si="1178">SUM(B445:D445)</f>
        <v>58.509000000620134</v>
      </c>
      <c r="F445" s="300"/>
      <c r="G445" s="300">
        <v>44.326000000300454</v>
      </c>
      <c r="H445" s="300">
        <v>14.191000000166042</v>
      </c>
      <c r="I445" s="300">
        <v>3.1969999999844494</v>
      </c>
      <c r="J445" s="300">
        <f t="shared" ref="J445:J446" si="1179">SUM(G445:I445)</f>
        <v>61.714000000450945</v>
      </c>
      <c r="K445" s="300"/>
      <c r="L445" s="300">
        <v>42.626999999786989</v>
      </c>
      <c r="M445" s="300">
        <v>13.143999999961856</v>
      </c>
      <c r="N445" s="300">
        <v>2.8370000000359776</v>
      </c>
      <c r="O445" s="300">
        <f t="shared" ref="O445:O446" si="1180">SUM(L445:N445)</f>
        <v>58.607999999784823</v>
      </c>
      <c r="P445" s="300"/>
      <c r="Q445" s="300">
        <v>45.031999999948212</v>
      </c>
      <c r="R445" s="300">
        <v>13.889999999995311</v>
      </c>
      <c r="S445" s="300">
        <v>2.9600000001066893</v>
      </c>
      <c r="T445" s="300">
        <f t="shared" ref="T445:T446" si="1181">SUM(Q445:S445)</f>
        <v>61.882000000050212</v>
      </c>
      <c r="U445" s="300"/>
      <c r="V445" s="300">
        <v>48.142999999839269</v>
      </c>
      <c r="W445" s="300">
        <v>14.791000000043082</v>
      </c>
      <c r="X445" s="300">
        <v>3.199000000073593</v>
      </c>
      <c r="Y445" s="300">
        <f t="shared" ref="Y445:Y446" si="1182">SUM(V445:X445)</f>
        <v>66.132999999955942</v>
      </c>
    </row>
    <row r="446" spans="1:25" ht="12.45" x14ac:dyDescent="0.3">
      <c r="A446" s="260" t="s">
        <v>354</v>
      </c>
      <c r="B446" s="300">
        <f>SUM(B444:B445)</f>
        <v>56.211000000343411</v>
      </c>
      <c r="C446" s="300">
        <f t="shared" ref="C446" si="1183">SUM(C444:C445)</f>
        <v>18.629000000297331</v>
      </c>
      <c r="D446" s="300">
        <f t="shared" ref="D446" si="1184">SUM(D444:D445)</f>
        <v>10.30500000019973</v>
      </c>
      <c r="E446" s="300">
        <f t="shared" si="1178"/>
        <v>85.145000000840469</v>
      </c>
      <c r="F446" s="300"/>
      <c r="G446" s="300">
        <f>SUM(G444:G445)</f>
        <v>57.145000000209194</v>
      </c>
      <c r="H446" s="300">
        <f t="shared" ref="H446" si="1185">SUM(H444:H445)</f>
        <v>21.522000000288205</v>
      </c>
      <c r="I446" s="300">
        <f t="shared" ref="I446" si="1186">SUM(I444:I445)</f>
        <v>12.323000000192065</v>
      </c>
      <c r="J446" s="300">
        <f t="shared" si="1179"/>
        <v>90.990000000689463</v>
      </c>
      <c r="K446" s="300"/>
      <c r="L446" s="300">
        <f>SUM(L444:L445)</f>
        <v>54.840999999667119</v>
      </c>
      <c r="M446" s="300">
        <f t="shared" ref="M446" si="1187">SUM(M444:M445)</f>
        <v>20.157000000059284</v>
      </c>
      <c r="N446" s="300">
        <f t="shared" ref="N446" si="1188">SUM(N444:N445)</f>
        <v>10.322999999851122</v>
      </c>
      <c r="O446" s="300">
        <f t="shared" si="1180"/>
        <v>85.320999999577523</v>
      </c>
      <c r="P446" s="300"/>
      <c r="Q446" s="300">
        <f>SUM(Q444:Q445)</f>
        <v>58.208000000315153</v>
      </c>
      <c r="R446" s="300">
        <f t="shared" ref="R446" si="1189">SUM(R444:R445)</f>
        <v>21.200000000165538</v>
      </c>
      <c r="S446" s="300">
        <f t="shared" ref="S446" si="1190">SUM(S444:S445)</f>
        <v>10.77600000009283</v>
      </c>
      <c r="T446" s="300">
        <f t="shared" si="1181"/>
        <v>90.184000000573519</v>
      </c>
      <c r="U446" s="300"/>
      <c r="V446" s="300">
        <f>SUM(V444:V445)</f>
        <v>62.555999999683891</v>
      </c>
      <c r="W446" s="300">
        <f t="shared" ref="W446" si="1191">SUM(W444:W445)</f>
        <v>22.387000000038785</v>
      </c>
      <c r="X446" s="300">
        <f t="shared" ref="X446" si="1192">SUM(X444:X445)</f>
        <v>11.689000000059178</v>
      </c>
      <c r="Y446" s="300">
        <f t="shared" si="1182"/>
        <v>96.631999999781854</v>
      </c>
    </row>
    <row r="447" spans="1:25" ht="12.45" x14ac:dyDescent="0.3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ht="12.45" x14ac:dyDescent="0.3">
      <c r="A448" s="261" t="str">
        <f>name!A64</f>
        <v>Security, etc</v>
      </c>
      <c r="C448" s="263"/>
    </row>
    <row r="449" spans="1:25" ht="12.45" x14ac:dyDescent="0.3">
      <c r="A449" s="260" t="s">
        <v>356</v>
      </c>
      <c r="B449" s="300">
        <v>27.349999999998069</v>
      </c>
      <c r="C449" s="300">
        <v>14.146000000221196</v>
      </c>
      <c r="D449" s="300">
        <v>3.239000000071119</v>
      </c>
      <c r="E449" s="300">
        <f>SUM(B449:D449)</f>
        <v>44.735000000290384</v>
      </c>
      <c r="F449" s="300"/>
      <c r="G449" s="300">
        <v>32.880999999931575</v>
      </c>
      <c r="H449" s="300">
        <v>15.800000000201692</v>
      </c>
      <c r="I449" s="300">
        <v>4.2570000000672472</v>
      </c>
      <c r="J449" s="300">
        <f>SUM(G449:I449)</f>
        <v>52.938000000200518</v>
      </c>
      <c r="K449" s="300"/>
      <c r="L449" s="300">
        <v>31.374999999919481</v>
      </c>
      <c r="M449" s="300">
        <v>15.071000000090747</v>
      </c>
      <c r="N449" s="300">
        <v>3.5839999999250649</v>
      </c>
      <c r="O449" s="300">
        <f>SUM(L449:N449)</f>
        <v>50.029999999935292</v>
      </c>
      <c r="P449" s="300"/>
      <c r="Q449" s="300">
        <v>33.833000000506949</v>
      </c>
      <c r="R449" s="300">
        <v>15.623000000197871</v>
      </c>
      <c r="S449" s="300">
        <v>3.7619999999706368</v>
      </c>
      <c r="T449" s="300">
        <f>SUM(Q449:S449)</f>
        <v>53.218000000675453</v>
      </c>
      <c r="U449" s="300"/>
      <c r="V449" s="300">
        <v>36.995999999761978</v>
      </c>
      <c r="W449" s="300">
        <v>16.131999999987507</v>
      </c>
      <c r="X449" s="300">
        <v>4.0859999999917225</v>
      </c>
      <c r="Y449" s="300">
        <f>SUM(V449:X449)</f>
        <v>57.213999999741205</v>
      </c>
    </row>
    <row r="450" spans="1:25" ht="12.45" x14ac:dyDescent="0.3">
      <c r="A450" s="260" t="s">
        <v>355</v>
      </c>
      <c r="B450" s="300">
        <v>90.148000000414413</v>
      </c>
      <c r="C450" s="300">
        <v>24.810000000401452</v>
      </c>
      <c r="D450" s="300">
        <v>16.724000000272653</v>
      </c>
      <c r="E450" s="300">
        <f t="shared" ref="E450:E451" si="1193">SUM(B450:D450)</f>
        <v>131.68200000108851</v>
      </c>
      <c r="F450" s="300"/>
      <c r="G450" s="300">
        <v>97.506000000263555</v>
      </c>
      <c r="H450" s="300">
        <v>26.665000000352975</v>
      </c>
      <c r="I450" s="300">
        <v>19.140000000122239</v>
      </c>
      <c r="J450" s="300">
        <f t="shared" ref="J450:J451" si="1194">SUM(G450:I450)</f>
        <v>143.31100000073877</v>
      </c>
      <c r="K450" s="300"/>
      <c r="L450" s="300">
        <v>94.755000000060988</v>
      </c>
      <c r="M450" s="300">
        <v>24.582000000051199</v>
      </c>
      <c r="N450" s="300">
        <v>16.411000000224302</v>
      </c>
      <c r="O450" s="300">
        <f t="shared" ref="O450:O451" si="1195">SUM(L450:N450)</f>
        <v>135.74800000033648</v>
      </c>
      <c r="P450" s="300"/>
      <c r="Q450" s="300">
        <v>100.34100000002813</v>
      </c>
      <c r="R450" s="300">
        <v>26.0060000000414</v>
      </c>
      <c r="S450" s="300">
        <v>17.167000000509116</v>
      </c>
      <c r="T450" s="300">
        <f t="shared" ref="T450:T451" si="1196">SUM(Q450:S450)</f>
        <v>143.51400000057865</v>
      </c>
      <c r="U450" s="300"/>
      <c r="V450" s="300">
        <v>107.21899999992559</v>
      </c>
      <c r="W450" s="300">
        <v>27.607000000097162</v>
      </c>
      <c r="X450" s="300">
        <v>18.509000000405237</v>
      </c>
      <c r="Y450" s="300">
        <f t="shared" ref="Y450:Y451" si="1197">SUM(V450:X450)</f>
        <v>153.33500000042801</v>
      </c>
    </row>
    <row r="451" spans="1:25" ht="12.45" x14ac:dyDescent="0.3">
      <c r="A451" s="260" t="s">
        <v>354</v>
      </c>
      <c r="B451" s="300">
        <f>SUM(B449:B450)</f>
        <v>117.49800000041247</v>
      </c>
      <c r="C451" s="300">
        <f t="shared" ref="C451" si="1198">SUM(C449:C450)</f>
        <v>38.956000000622652</v>
      </c>
      <c r="D451" s="300">
        <f t="shared" ref="D451" si="1199">SUM(D449:D450)</f>
        <v>19.963000000343772</v>
      </c>
      <c r="E451" s="300">
        <f t="shared" si="1193"/>
        <v>176.41700000137891</v>
      </c>
      <c r="F451" s="300"/>
      <c r="G451" s="300">
        <f>SUM(G449:G450)</f>
        <v>130.38700000019514</v>
      </c>
      <c r="H451" s="300">
        <f t="shared" ref="H451" si="1200">SUM(H449:H450)</f>
        <v>42.465000000554667</v>
      </c>
      <c r="I451" s="300">
        <f t="shared" ref="I451" si="1201">SUM(I449:I450)</f>
        <v>23.397000000189486</v>
      </c>
      <c r="J451" s="300">
        <f t="shared" si="1194"/>
        <v>196.24900000093928</v>
      </c>
      <c r="K451" s="300"/>
      <c r="L451" s="300">
        <f>SUM(L449:L450)</f>
        <v>126.12999999998047</v>
      </c>
      <c r="M451" s="300">
        <f t="shared" ref="M451" si="1202">SUM(M449:M450)</f>
        <v>39.653000000141944</v>
      </c>
      <c r="N451" s="300">
        <f t="shared" ref="N451" si="1203">SUM(N449:N450)</f>
        <v>19.995000000149368</v>
      </c>
      <c r="O451" s="300">
        <f t="shared" si="1195"/>
        <v>185.77800000027176</v>
      </c>
      <c r="P451" s="300"/>
      <c r="Q451" s="300">
        <f>SUM(Q449:Q450)</f>
        <v>134.17400000053507</v>
      </c>
      <c r="R451" s="300">
        <f t="shared" ref="R451" si="1204">SUM(R449:R450)</f>
        <v>41.629000000239273</v>
      </c>
      <c r="S451" s="300">
        <f t="shared" ref="S451" si="1205">SUM(S449:S450)</f>
        <v>20.929000000479753</v>
      </c>
      <c r="T451" s="300">
        <f t="shared" si="1196"/>
        <v>196.73200000125411</v>
      </c>
      <c r="U451" s="300"/>
      <c r="V451" s="300">
        <f>SUM(V449:V450)</f>
        <v>144.21499999968756</v>
      </c>
      <c r="W451" s="300">
        <f t="shared" ref="W451" si="1206">SUM(W449:W450)</f>
        <v>43.739000000084673</v>
      </c>
      <c r="X451" s="300">
        <f t="shared" ref="X451" si="1207">SUM(X449:X450)</f>
        <v>22.595000000396958</v>
      </c>
      <c r="Y451" s="300">
        <f t="shared" si="1197"/>
        <v>210.5490000001692</v>
      </c>
    </row>
    <row r="452" spans="1:25" ht="12.45" x14ac:dyDescent="0.3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ht="12.45" x14ac:dyDescent="0.3">
      <c r="A453" s="261" t="str">
        <f>name!A65</f>
        <v>Services to buildings</v>
      </c>
      <c r="C453" s="263"/>
    </row>
    <row r="454" spans="1:25" ht="12.45" x14ac:dyDescent="0.3">
      <c r="A454" s="260" t="s">
        <v>356</v>
      </c>
      <c r="B454" s="300">
        <v>172.8199999999247</v>
      </c>
      <c r="C454" s="300">
        <v>282.72500000364653</v>
      </c>
      <c r="D454" s="300">
        <v>42.211000000694952</v>
      </c>
      <c r="E454" s="300">
        <f>SUM(B454:D454)</f>
        <v>497.75600000426618</v>
      </c>
      <c r="F454" s="300"/>
      <c r="G454" s="300">
        <v>187.85599999962841</v>
      </c>
      <c r="H454" s="300">
        <v>282.65700000372061</v>
      </c>
      <c r="I454" s="300">
        <v>50.25700000055847</v>
      </c>
      <c r="J454" s="300">
        <f>SUM(G454:I454)</f>
        <v>520.77000000390751</v>
      </c>
      <c r="K454" s="300"/>
      <c r="L454" s="300">
        <v>179.84699999930498</v>
      </c>
      <c r="M454" s="300">
        <v>268.50300000146626</v>
      </c>
      <c r="N454" s="300">
        <v>42.389999999190842</v>
      </c>
      <c r="O454" s="300">
        <f>SUM(L454:N454)</f>
        <v>490.73999999996209</v>
      </c>
      <c r="P454" s="300"/>
      <c r="Q454" s="300">
        <v>194.17300000239609</v>
      </c>
      <c r="R454" s="300">
        <v>279.62300000245551</v>
      </c>
      <c r="S454" s="300">
        <v>44.459999999642541</v>
      </c>
      <c r="T454" s="300">
        <f>SUM(Q454:S454)</f>
        <v>518.25600000449413</v>
      </c>
      <c r="U454" s="300"/>
      <c r="V454" s="300">
        <v>212.5879999985068</v>
      </c>
      <c r="W454" s="300">
        <v>289.55999999983874</v>
      </c>
      <c r="X454" s="300">
        <v>48.315999999989323</v>
      </c>
      <c r="Y454" s="300">
        <f>SUM(V454:X454)</f>
        <v>550.46399999833488</v>
      </c>
    </row>
    <row r="455" spans="1:25" ht="12.45" x14ac:dyDescent="0.3">
      <c r="A455" s="260" t="s">
        <v>355</v>
      </c>
      <c r="B455" s="300">
        <v>135.75200000025885</v>
      </c>
      <c r="C455" s="300">
        <v>73.455000001093779</v>
      </c>
      <c r="D455" s="300">
        <v>36.061000000465981</v>
      </c>
      <c r="E455" s="300">
        <f t="shared" ref="E455:E456" si="1208">SUM(B455:D455)</f>
        <v>245.26800000181862</v>
      </c>
      <c r="F455" s="300"/>
      <c r="G455" s="300">
        <v>141.9950000001233</v>
      </c>
      <c r="H455" s="300">
        <v>73.504000000864494</v>
      </c>
      <c r="I455" s="300">
        <v>38.115000000243526</v>
      </c>
      <c r="J455" s="300">
        <f t="shared" ref="J455:J456" si="1209">SUM(G455:I455)</f>
        <v>253.61400000123132</v>
      </c>
      <c r="K455" s="300"/>
      <c r="L455" s="300">
        <v>137.02300000003382</v>
      </c>
      <c r="M455" s="300">
        <v>67.494000000036181</v>
      </c>
      <c r="N455" s="300">
        <v>31.816000000329186</v>
      </c>
      <c r="O455" s="300">
        <f t="shared" ref="O455:O456" si="1210">SUM(L455:N455)</f>
        <v>236.33300000039918</v>
      </c>
      <c r="P455" s="300"/>
      <c r="Q455" s="300">
        <v>145.36000000010222</v>
      </c>
      <c r="R455" s="300">
        <v>71.352000000041102</v>
      </c>
      <c r="S455" s="300">
        <v>33.341000000759777</v>
      </c>
      <c r="T455" s="300">
        <f t="shared" ref="T455:T456" si="1211">SUM(Q455:S455)</f>
        <v>250.0530000009031</v>
      </c>
      <c r="U455" s="300"/>
      <c r="V455" s="300">
        <v>155.86400000002899</v>
      </c>
      <c r="W455" s="300">
        <v>75.765000000172492</v>
      </c>
      <c r="X455" s="300">
        <v>36.085000000599379</v>
      </c>
      <c r="Y455" s="300">
        <f t="shared" ref="Y455:Y456" si="1212">SUM(V455:X455)</f>
        <v>267.71400000080087</v>
      </c>
    </row>
    <row r="456" spans="1:25" ht="12.45" x14ac:dyDescent="0.3">
      <c r="A456" s="260" t="s">
        <v>354</v>
      </c>
      <c r="B456" s="300">
        <f>SUM(B454:B455)</f>
        <v>308.57200000018355</v>
      </c>
      <c r="C456" s="300">
        <f t="shared" ref="C456" si="1213">SUM(C454:C455)</f>
        <v>356.18000000474029</v>
      </c>
      <c r="D456" s="300">
        <f t="shared" ref="D456" si="1214">SUM(D454:D455)</f>
        <v>78.272000001160933</v>
      </c>
      <c r="E456" s="300">
        <f t="shared" si="1208"/>
        <v>743.02400000608475</v>
      </c>
      <c r="F456" s="300"/>
      <c r="G456" s="300">
        <f>SUM(G454:G455)</f>
        <v>329.85099999975171</v>
      </c>
      <c r="H456" s="300">
        <f t="shared" ref="H456" si="1215">SUM(H454:H455)</f>
        <v>356.16100000458511</v>
      </c>
      <c r="I456" s="300">
        <f t="shared" ref="I456" si="1216">SUM(I454:I455)</f>
        <v>88.372000000801989</v>
      </c>
      <c r="J456" s="300">
        <f t="shared" si="1209"/>
        <v>774.38400000513889</v>
      </c>
      <c r="K456" s="300"/>
      <c r="L456" s="300">
        <f>SUM(L454:L455)</f>
        <v>316.8699999993388</v>
      </c>
      <c r="M456" s="300">
        <f t="shared" ref="M456" si="1217">SUM(M454:M455)</f>
        <v>335.99700000150244</v>
      </c>
      <c r="N456" s="300">
        <f t="shared" ref="N456" si="1218">SUM(N454:N455)</f>
        <v>74.205999999520031</v>
      </c>
      <c r="O456" s="300">
        <f t="shared" si="1210"/>
        <v>727.07300000036128</v>
      </c>
      <c r="P456" s="300"/>
      <c r="Q456" s="300">
        <f>SUM(Q454:Q455)</f>
        <v>339.53300000249828</v>
      </c>
      <c r="R456" s="300">
        <f t="shared" ref="R456" si="1219">SUM(R454:R455)</f>
        <v>350.97500000249659</v>
      </c>
      <c r="S456" s="300">
        <f t="shared" ref="S456" si="1220">SUM(S454:S455)</f>
        <v>77.801000000402325</v>
      </c>
      <c r="T456" s="300">
        <f t="shared" si="1211"/>
        <v>768.30900000539714</v>
      </c>
      <c r="U456" s="300"/>
      <c r="V456" s="300">
        <f>SUM(V454:V455)</f>
        <v>368.45199999853583</v>
      </c>
      <c r="W456" s="300">
        <f t="shared" ref="W456" si="1221">SUM(W454:W455)</f>
        <v>365.32500000001124</v>
      </c>
      <c r="X456" s="300">
        <f t="shared" ref="X456" si="1222">SUM(X454:X455)</f>
        <v>84.401000000588709</v>
      </c>
      <c r="Y456" s="300">
        <f t="shared" si="1212"/>
        <v>818.17799999913586</v>
      </c>
    </row>
    <row r="457" spans="1:25" ht="12.45" x14ac:dyDescent="0.3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ht="12.45" x14ac:dyDescent="0.3">
      <c r="A458" s="261" t="str">
        <f>name!A66</f>
        <v>Office administrative</v>
      </c>
      <c r="C458" s="263"/>
    </row>
    <row r="459" spans="1:25" ht="12.45" x14ac:dyDescent="0.3">
      <c r="A459" s="260" t="s">
        <v>356</v>
      </c>
      <c r="B459" s="300">
        <v>72.879999999986623</v>
      </c>
      <c r="C459" s="300">
        <v>36.200000000483719</v>
      </c>
      <c r="D459" s="300">
        <v>24.996000000489197</v>
      </c>
      <c r="E459" s="300">
        <f>SUM(B459:D459)</f>
        <v>134.07600000095954</v>
      </c>
      <c r="F459" s="300"/>
      <c r="G459" s="300">
        <v>88.68499999991279</v>
      </c>
      <c r="H459" s="300">
        <v>43.784000000512421</v>
      </c>
      <c r="I459" s="300">
        <v>33.58800000056344</v>
      </c>
      <c r="J459" s="300">
        <f>SUM(G459:I459)</f>
        <v>166.05700000098864</v>
      </c>
      <c r="K459" s="300"/>
      <c r="L459" s="300">
        <v>84.51199999975583</v>
      </c>
      <c r="M459" s="300">
        <v>41.288000000173298</v>
      </c>
      <c r="N459" s="300">
        <v>28.004999999368582</v>
      </c>
      <c r="O459" s="300">
        <f>SUM(L459:N459)</f>
        <v>153.80499999929771</v>
      </c>
      <c r="P459" s="300"/>
      <c r="Q459" s="300">
        <v>91.151000001214953</v>
      </c>
      <c r="R459" s="300">
        <v>43.003000000257124</v>
      </c>
      <c r="S459" s="300">
        <v>29.351999999733664</v>
      </c>
      <c r="T459" s="300">
        <f>SUM(Q459:S459)</f>
        <v>163.50600000120573</v>
      </c>
      <c r="U459" s="300"/>
      <c r="V459" s="300">
        <v>99.693999999366596</v>
      </c>
      <c r="W459" s="300">
        <v>44.460999999970831</v>
      </c>
      <c r="X459" s="300">
        <v>31.846999999918371</v>
      </c>
      <c r="Y459" s="300">
        <f>SUM(V459:X459)</f>
        <v>176.00199999925582</v>
      </c>
    </row>
    <row r="460" spans="1:25" ht="12.45" x14ac:dyDescent="0.3">
      <c r="A460" s="260" t="s">
        <v>355</v>
      </c>
      <c r="B460" s="300">
        <v>224.52100000069387</v>
      </c>
      <c r="C460" s="300">
        <v>46.479000000680102</v>
      </c>
      <c r="D460" s="300">
        <v>26.818000000413086</v>
      </c>
      <c r="E460" s="300">
        <f t="shared" ref="E460:E461" si="1223">SUM(B460:D460)</f>
        <v>297.81800000178703</v>
      </c>
      <c r="F460" s="300"/>
      <c r="G460" s="300">
        <v>251.85000000056286</v>
      </c>
      <c r="H460" s="300">
        <v>55.305000000661423</v>
      </c>
      <c r="I460" s="300">
        <v>30.031000000182221</v>
      </c>
      <c r="J460" s="300">
        <f t="shared" ref="J460:J461" si="1224">SUM(G460:I460)</f>
        <v>337.18600000140651</v>
      </c>
      <c r="K460" s="300"/>
      <c r="L460" s="300">
        <v>244.19400000012578</v>
      </c>
      <c r="M460" s="300">
        <v>50.86999999996597</v>
      </c>
      <c r="N460" s="300">
        <v>25.429000000336224</v>
      </c>
      <c r="O460" s="300">
        <f t="shared" ref="O460:O461" si="1225">SUM(L460:N460)</f>
        <v>320.49300000042797</v>
      </c>
      <c r="P460" s="300"/>
      <c r="Q460" s="300">
        <v>258.67500000004645</v>
      </c>
      <c r="R460" s="300">
        <v>53.885999999937383</v>
      </c>
      <c r="S460" s="300">
        <v>26.632000000766947</v>
      </c>
      <c r="T460" s="300">
        <f t="shared" ref="T460:T461" si="1226">SUM(Q460:S460)</f>
        <v>339.19300000075077</v>
      </c>
      <c r="U460" s="300"/>
      <c r="V460" s="300">
        <v>276.55099999984151</v>
      </c>
      <c r="W460" s="300">
        <v>57.145000000033924</v>
      </c>
      <c r="X460" s="300">
        <v>28.731000000606841</v>
      </c>
      <c r="Y460" s="300">
        <f t="shared" ref="Y460:Y461" si="1227">SUM(V460:X460)</f>
        <v>362.42700000048228</v>
      </c>
    </row>
    <row r="461" spans="1:25" ht="12.45" x14ac:dyDescent="0.3">
      <c r="A461" s="260" t="s">
        <v>354</v>
      </c>
      <c r="B461" s="300">
        <f>SUM(B459:B460)</f>
        <v>297.40100000068048</v>
      </c>
      <c r="C461" s="300">
        <f t="shared" ref="C461" si="1228">SUM(C459:C460)</f>
        <v>82.679000001163814</v>
      </c>
      <c r="D461" s="300">
        <f t="shared" ref="D461" si="1229">SUM(D459:D460)</f>
        <v>51.814000000902283</v>
      </c>
      <c r="E461" s="300">
        <f t="shared" si="1223"/>
        <v>431.89400000274657</v>
      </c>
      <c r="F461" s="300"/>
      <c r="G461" s="300">
        <f>SUM(G459:G460)</f>
        <v>340.53500000047563</v>
      </c>
      <c r="H461" s="300">
        <f t="shared" ref="H461" si="1230">SUM(H459:H460)</f>
        <v>99.089000001173844</v>
      </c>
      <c r="I461" s="300">
        <f t="shared" ref="I461" si="1231">SUM(I459:I460)</f>
        <v>63.619000000745658</v>
      </c>
      <c r="J461" s="300">
        <f t="shared" si="1224"/>
        <v>503.24300000239515</v>
      </c>
      <c r="K461" s="300"/>
      <c r="L461" s="300">
        <f>SUM(L459:L460)</f>
        <v>328.70599999988161</v>
      </c>
      <c r="M461" s="300">
        <f t="shared" ref="M461" si="1232">SUM(M459:M460)</f>
        <v>92.158000000139268</v>
      </c>
      <c r="N461" s="300">
        <f t="shared" ref="N461" si="1233">SUM(N459:N460)</f>
        <v>53.43399999970481</v>
      </c>
      <c r="O461" s="300">
        <f t="shared" si="1225"/>
        <v>474.29799999972568</v>
      </c>
      <c r="P461" s="300"/>
      <c r="Q461" s="300">
        <f>SUM(Q459:Q460)</f>
        <v>349.82600000126138</v>
      </c>
      <c r="R461" s="300">
        <f t="shared" ref="R461" si="1234">SUM(R459:R460)</f>
        <v>96.8890000001945</v>
      </c>
      <c r="S461" s="300">
        <f t="shared" ref="S461" si="1235">SUM(S459:S460)</f>
        <v>55.984000000500615</v>
      </c>
      <c r="T461" s="300">
        <f t="shared" si="1226"/>
        <v>502.69900000195651</v>
      </c>
      <c r="U461" s="300"/>
      <c r="V461" s="300">
        <f>SUM(V459:V460)</f>
        <v>376.24499999920812</v>
      </c>
      <c r="W461" s="300">
        <f t="shared" ref="W461" si="1236">SUM(W459:W460)</f>
        <v>101.60600000000476</v>
      </c>
      <c r="X461" s="300">
        <f t="shared" ref="X461" si="1237">SUM(X459:X460)</f>
        <v>60.578000000525208</v>
      </c>
      <c r="Y461" s="300">
        <f t="shared" si="1227"/>
        <v>538.42899999973815</v>
      </c>
    </row>
    <row r="462" spans="1:25" ht="12.45" x14ac:dyDescent="0.3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ht="12.45" x14ac:dyDescent="0.3">
      <c r="A463" s="261" t="s">
        <v>360</v>
      </c>
      <c r="C463" s="263"/>
    </row>
    <row r="464" spans="1:25" ht="12.45" x14ac:dyDescent="0.3">
      <c r="A464" s="260" t="s">
        <v>356</v>
      </c>
      <c r="B464" s="300">
        <f>SUM(B434,B439,B444,B449,B454,B459)</f>
        <v>489.06199999963695</v>
      </c>
      <c r="C464" s="300">
        <f t="shared" ref="C464:D465" si="1238">SUM(C434,C439,C444,C449,C454,C459)</f>
        <v>450.07500000606422</v>
      </c>
      <c r="D464" s="300">
        <f t="shared" si="1238"/>
        <v>132.99300000238298</v>
      </c>
      <c r="E464" s="300">
        <f>SUM(B464:D464)</f>
        <v>1072.1300000080842</v>
      </c>
      <c r="F464" s="300"/>
      <c r="G464" s="300">
        <f>SUM(G434,G439,G444,G449,G454,G459)</f>
        <v>521.96299999863811</v>
      </c>
      <c r="H464" s="300">
        <f t="shared" ref="H464:I464" si="1239">SUM(H434,H439,H444,H449,H454,H459)</f>
        <v>474.864000006114</v>
      </c>
      <c r="I464" s="300">
        <f t="shared" si="1239"/>
        <v>161.17400000228542</v>
      </c>
      <c r="J464" s="300">
        <f>SUM(G464:I464)</f>
        <v>1158.0010000070374</v>
      </c>
      <c r="K464" s="300"/>
      <c r="L464" s="300">
        <f>SUM(L434,L439,L444,L449,L454,L459)</f>
        <v>499.95899999833864</v>
      </c>
      <c r="M464" s="300">
        <f t="shared" ref="M464:N464" si="1240">SUM(M434,M439,M444,M449,M454,M459)</f>
        <v>450.16300000245701</v>
      </c>
      <c r="N464" s="300">
        <f t="shared" si="1240"/>
        <v>135.23599999706099</v>
      </c>
      <c r="O464" s="300">
        <f>SUM(L464:N464)</f>
        <v>1085.3579999978567</v>
      </c>
      <c r="P464" s="300"/>
      <c r="Q464" s="300">
        <f>SUM(Q434,Q439,Q444,Q449,Q454,Q459)</f>
        <v>539.92300000749844</v>
      </c>
      <c r="R464" s="300">
        <f t="shared" ref="R464:S464" si="1241">SUM(R434,R439,R444,R449,R454,R459)</f>
        <v>468.77600000416936</v>
      </c>
      <c r="S464" s="300">
        <f t="shared" si="1241"/>
        <v>141.77299999890022</v>
      </c>
      <c r="T464" s="300">
        <f>SUM(Q464:S464)</f>
        <v>1150.4720000105681</v>
      </c>
      <c r="U464" s="300"/>
      <c r="V464" s="300">
        <f>SUM(V434,V439,V444,V449,V454,V459)</f>
        <v>590.9849999959556</v>
      </c>
      <c r="W464" s="300">
        <f t="shared" ref="W464:X464" si="1242">SUM(W434,W439,W444,W449,W454,W459)</f>
        <v>485.21899999971168</v>
      </c>
      <c r="X464" s="300">
        <f t="shared" si="1242"/>
        <v>153.93299999985786</v>
      </c>
      <c r="Y464" s="300">
        <f>SUM(V464:X464)</f>
        <v>1230.1369999955252</v>
      </c>
    </row>
    <row r="465" spans="1:25" ht="12.45" x14ac:dyDescent="0.3">
      <c r="A465" s="260" t="s">
        <v>355</v>
      </c>
      <c r="B465" s="300">
        <f>SUM(B435,B440,B445,B450,B455,B460)</f>
        <v>943.34300000237943</v>
      </c>
      <c r="C465" s="300">
        <f t="shared" si="1238"/>
        <v>329.16700000469029</v>
      </c>
      <c r="D465" s="300">
        <f t="shared" si="1238"/>
        <v>155.64600000236214</v>
      </c>
      <c r="E465" s="300">
        <f t="shared" ref="E465:E466" si="1243">SUM(B465:D465)</f>
        <v>1428.1560000094319</v>
      </c>
      <c r="F465" s="300"/>
      <c r="G465" s="300">
        <f>SUM(G435,G440,G445,G450,G455,G460)</f>
        <v>950.86100000168153</v>
      </c>
      <c r="H465" s="300">
        <f t="shared" ref="H465:I465" si="1244">SUM(H435,H440,H445,H450,H455,H460)</f>
        <v>367.18700000442203</v>
      </c>
      <c r="I465" s="300">
        <f t="shared" si="1244"/>
        <v>163.29600000080765</v>
      </c>
      <c r="J465" s="300">
        <f t="shared" ref="J465:J466" si="1245">SUM(G465:I465)</f>
        <v>1481.3440000069113</v>
      </c>
      <c r="K465" s="300"/>
      <c r="L465" s="300">
        <f>SUM(L435,L440,L445,L450,L455,L460)</f>
        <v>921.97000000024047</v>
      </c>
      <c r="M465" s="300">
        <f t="shared" ref="M465:N465" si="1246">SUM(M435,M440,M445,M450,M455,M460)</f>
        <v>339.73600000023225</v>
      </c>
      <c r="N465" s="300">
        <f t="shared" si="1246"/>
        <v>136.17600000176293</v>
      </c>
      <c r="O465" s="300">
        <f t="shared" ref="O465:O466" si="1247">SUM(L465:N465)</f>
        <v>1397.8820000022356</v>
      </c>
      <c r="P465" s="300"/>
      <c r="Q465" s="300">
        <f>SUM(Q435,Q440,Q445,Q450,Q455,Q460)</f>
        <v>977.73200000041891</v>
      </c>
      <c r="R465" s="300">
        <f t="shared" ref="R465:S465" si="1248">SUM(R435,R440,R445,R450,R455,R460)</f>
        <v>359.50700000017383</v>
      </c>
      <c r="S465" s="300">
        <f t="shared" si="1248"/>
        <v>142.69200000422367</v>
      </c>
      <c r="T465" s="300">
        <f t="shared" ref="T465:T466" si="1249">SUM(Q465:S465)</f>
        <v>1479.9310000048165</v>
      </c>
      <c r="U465" s="300"/>
      <c r="V465" s="300">
        <f>SUM(V435,V440,V445,V450,V455,V460)</f>
        <v>1046.6179999996427</v>
      </c>
      <c r="W465" s="300">
        <f t="shared" ref="W465:X465" si="1250">SUM(W435,W440,W445,W450,W455,W460)</f>
        <v>381.580000000864</v>
      </c>
      <c r="X465" s="300">
        <f t="shared" si="1250"/>
        <v>154.12700000332171</v>
      </c>
      <c r="Y465" s="300">
        <f t="shared" ref="Y465:Y466" si="1251">SUM(V465:X465)</f>
        <v>1582.3250000038283</v>
      </c>
    </row>
    <row r="466" spans="1:25" ht="12.45" x14ac:dyDescent="0.3">
      <c r="A466" s="264" t="s">
        <v>354</v>
      </c>
      <c r="B466" s="301">
        <f>SUM(B464:B465)</f>
        <v>1432.4050000020163</v>
      </c>
      <c r="C466" s="301">
        <f t="shared" ref="C466" si="1252">SUM(C464:C465)</f>
        <v>779.24200001075451</v>
      </c>
      <c r="D466" s="301">
        <f t="shared" ref="D466" si="1253">SUM(D464:D465)</f>
        <v>288.63900000474513</v>
      </c>
      <c r="E466" s="301">
        <f t="shared" si="1243"/>
        <v>2500.286000017516</v>
      </c>
      <c r="F466" s="301"/>
      <c r="G466" s="301">
        <f>SUM(G464:G465)</f>
        <v>1472.8240000003198</v>
      </c>
      <c r="H466" s="301">
        <f t="shared" ref="H466" si="1254">SUM(H464:H465)</f>
        <v>842.05100001053597</v>
      </c>
      <c r="I466" s="301">
        <f t="shared" ref="I466" si="1255">SUM(I464:I465)</f>
        <v>324.47000000309311</v>
      </c>
      <c r="J466" s="301">
        <f t="shared" si="1245"/>
        <v>2639.3450000139487</v>
      </c>
      <c r="K466" s="301"/>
      <c r="L466" s="301">
        <f>SUM(L464:L465)</f>
        <v>1421.928999998579</v>
      </c>
      <c r="M466" s="301">
        <f t="shared" ref="M466" si="1256">SUM(M464:M465)</f>
        <v>789.89900000268926</v>
      </c>
      <c r="N466" s="301">
        <f t="shared" ref="N466" si="1257">SUM(N464:N465)</f>
        <v>271.41199999882394</v>
      </c>
      <c r="O466" s="301">
        <f t="shared" si="1247"/>
        <v>2483.2400000000921</v>
      </c>
      <c r="P466" s="301"/>
      <c r="Q466" s="301">
        <f>SUM(Q464:Q465)</f>
        <v>1517.6550000079174</v>
      </c>
      <c r="R466" s="301">
        <f t="shared" ref="R466" si="1258">SUM(R464:R465)</f>
        <v>828.28300000434319</v>
      </c>
      <c r="S466" s="301">
        <f t="shared" ref="S466" si="1259">SUM(S464:S465)</f>
        <v>284.46500000312392</v>
      </c>
      <c r="T466" s="301">
        <f t="shared" si="1249"/>
        <v>2630.4030000153844</v>
      </c>
      <c r="U466" s="301"/>
      <c r="V466" s="301">
        <f>SUM(V464:V465)</f>
        <v>1637.6029999955983</v>
      </c>
      <c r="W466" s="301">
        <f t="shared" ref="W466" si="1260">SUM(W464:W465)</f>
        <v>866.79900000057569</v>
      </c>
      <c r="X466" s="301">
        <f t="shared" ref="X466" si="1261">SUM(X464:X465)</f>
        <v>308.06000000317954</v>
      </c>
      <c r="Y466" s="301">
        <f t="shared" si="1251"/>
        <v>2812.4619999993533</v>
      </c>
    </row>
    <row r="467" spans="1:25" ht="12.45" x14ac:dyDescent="0.3">
      <c r="C467" s="263"/>
    </row>
    <row r="468" spans="1:25" x14ac:dyDescent="0.35">
      <c r="A468" s="261"/>
    </row>
    <row r="469" spans="1:25" ht="12.45" x14ac:dyDescent="0.3">
      <c r="C469" s="263"/>
    </row>
    <row r="470" spans="1:25" ht="14.15" x14ac:dyDescent="0.35">
      <c r="A470" s="265" t="str">
        <f>"Industry 18 : "&amp; name!B21</f>
        <v>Industry 18 : Public admin. and defence</v>
      </c>
      <c r="B470" s="372">
        <f>$B$5</f>
        <v>2015</v>
      </c>
      <c r="C470" s="372"/>
      <c r="D470" s="372"/>
      <c r="E470" s="372"/>
      <c r="F470" s="320"/>
      <c r="G470" s="372">
        <f>$G$5</f>
        <v>2019</v>
      </c>
      <c r="H470" s="372"/>
      <c r="I470" s="372"/>
      <c r="J470" s="372"/>
      <c r="K470" s="320"/>
      <c r="L470" s="372">
        <f>$L$5</f>
        <v>2020</v>
      </c>
      <c r="M470" s="372"/>
      <c r="N470" s="372"/>
      <c r="O470" s="372"/>
      <c r="P470" s="318"/>
      <c r="Q470" s="372">
        <f>$Q$5</f>
        <v>2025</v>
      </c>
      <c r="R470" s="372"/>
      <c r="S470" s="372"/>
      <c r="T470" s="372"/>
      <c r="U470" s="320"/>
      <c r="V470" s="372">
        <f>$V$5</f>
        <v>2035</v>
      </c>
      <c r="W470" s="372"/>
      <c r="X470" s="372"/>
      <c r="Y470" s="372"/>
    </row>
    <row r="471" spans="1:25" ht="12.45" x14ac:dyDescent="0.3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35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ht="12.45" x14ac:dyDescent="0.3">
      <c r="A473" s="261" t="str">
        <f>name!A67</f>
        <v>Public administration and defence</v>
      </c>
      <c r="C473" s="263"/>
    </row>
    <row r="474" spans="1:25" ht="12.45" x14ac:dyDescent="0.3">
      <c r="A474" s="260" t="s">
        <v>356</v>
      </c>
      <c r="B474" s="300">
        <v>310.34999999737175</v>
      </c>
      <c r="C474" s="300">
        <v>273.0989999981548</v>
      </c>
      <c r="D474" s="300">
        <v>16.248999999826317</v>
      </c>
      <c r="E474" s="300">
        <f>SUM(B474:D474)</f>
        <v>599.6979999953528</v>
      </c>
      <c r="F474" s="300"/>
      <c r="G474" s="300">
        <v>330.46099999778022</v>
      </c>
      <c r="H474" s="300">
        <v>255.61099999912611</v>
      </c>
      <c r="I474" s="300">
        <v>18.140999999883316</v>
      </c>
      <c r="J474" s="300">
        <f>SUM(G474:I474)</f>
        <v>604.21299999678968</v>
      </c>
      <c r="K474" s="300"/>
      <c r="L474" s="300">
        <v>343.07499999886846</v>
      </c>
      <c r="M474" s="300">
        <v>260.50599999878142</v>
      </c>
      <c r="N474" s="300">
        <v>25.584000000098879</v>
      </c>
      <c r="O474" s="300">
        <f>SUM(L474:N474)</f>
        <v>629.16499999774874</v>
      </c>
      <c r="P474" s="300"/>
      <c r="Q474" s="300">
        <v>353.49200000157543</v>
      </c>
      <c r="R474" s="300">
        <v>269.04499999906045</v>
      </c>
      <c r="S474" s="300">
        <v>26.332999999976053</v>
      </c>
      <c r="T474" s="300">
        <f>SUM(Q474:S474)</f>
        <v>648.87000000061198</v>
      </c>
      <c r="U474" s="300"/>
      <c r="V474" s="300">
        <v>363.52500000218828</v>
      </c>
      <c r="W474" s="300">
        <v>277.63300000052357</v>
      </c>
      <c r="X474" s="300">
        <v>27.180000000059447</v>
      </c>
      <c r="Y474" s="300">
        <f>SUM(V474:X474)</f>
        <v>668.3380000027712</v>
      </c>
    </row>
    <row r="475" spans="1:25" ht="12.45" x14ac:dyDescent="0.3">
      <c r="A475" s="260" t="s">
        <v>355</v>
      </c>
      <c r="B475" s="300">
        <v>374.97299999702847</v>
      </c>
      <c r="C475" s="300">
        <v>52.777999999482326</v>
      </c>
      <c r="D475" s="300">
        <v>23.260000000126908</v>
      </c>
      <c r="E475" s="300">
        <f t="shared" ref="E475:E476" si="1262">SUM(B475:D475)</f>
        <v>451.01099999663774</v>
      </c>
      <c r="F475" s="300"/>
      <c r="G475" s="300">
        <v>391.70399999777072</v>
      </c>
      <c r="H475" s="300">
        <v>50.715999999659495</v>
      </c>
      <c r="I475" s="300">
        <v>17.07799999990894</v>
      </c>
      <c r="J475" s="300">
        <f t="shared" ref="J475:J476" si="1263">SUM(G475:I475)</f>
        <v>459.49799999733921</v>
      </c>
      <c r="K475" s="300"/>
      <c r="L475" s="300">
        <v>403.10099999868362</v>
      </c>
      <c r="M475" s="300">
        <v>52.859999999862637</v>
      </c>
      <c r="N475" s="300">
        <v>21.307000000287584</v>
      </c>
      <c r="O475" s="300">
        <f t="shared" ref="O475:O476" si="1264">SUM(L475:N475)</f>
        <v>477.26799999883383</v>
      </c>
      <c r="P475" s="300"/>
      <c r="Q475" s="300">
        <v>407.2370000002183</v>
      </c>
      <c r="R475" s="300">
        <v>57.529999999998168</v>
      </c>
      <c r="S475" s="300">
        <v>21.936000000981057</v>
      </c>
      <c r="T475" s="300">
        <f t="shared" ref="T475:T476" si="1265">SUM(Q475:S475)</f>
        <v>486.70300000119749</v>
      </c>
      <c r="U475" s="300"/>
      <c r="V475" s="300">
        <v>401.5939999998879</v>
      </c>
      <c r="W475" s="300">
        <v>65.42899999994809</v>
      </c>
      <c r="X475" s="300">
        <v>22.687000000689778</v>
      </c>
      <c r="Y475" s="300">
        <f t="shared" ref="Y475:Y476" si="1266">SUM(V475:X475)</f>
        <v>489.71000000052572</v>
      </c>
    </row>
    <row r="476" spans="1:25" ht="12.45" x14ac:dyDescent="0.3">
      <c r="A476" s="264" t="s">
        <v>354</v>
      </c>
      <c r="B476" s="301">
        <f>SUM(B474:B475)</f>
        <v>685.32299999440022</v>
      </c>
      <c r="C476" s="301">
        <f t="shared" ref="C476" si="1267">SUM(C474:C475)</f>
        <v>325.87699999763714</v>
      </c>
      <c r="D476" s="301">
        <f t="shared" ref="D476" si="1268">SUM(D474:D475)</f>
        <v>39.508999999953225</v>
      </c>
      <c r="E476" s="301">
        <f t="shared" si="1262"/>
        <v>1050.7089999919906</v>
      </c>
      <c r="F476" s="301"/>
      <c r="G476" s="301">
        <f>SUM(G474:G475)</f>
        <v>722.16499999555094</v>
      </c>
      <c r="H476" s="301">
        <f t="shared" ref="H476" si="1269">SUM(H474:H475)</f>
        <v>306.3269999987856</v>
      </c>
      <c r="I476" s="301">
        <f t="shared" ref="I476" si="1270">SUM(I474:I475)</f>
        <v>35.21899999979226</v>
      </c>
      <c r="J476" s="301">
        <f t="shared" si="1263"/>
        <v>1063.7109999941288</v>
      </c>
      <c r="K476" s="301"/>
      <c r="L476" s="301">
        <f>SUM(L474:L475)</f>
        <v>746.17599999755203</v>
      </c>
      <c r="M476" s="301">
        <f t="shared" ref="M476" si="1271">SUM(M474:M475)</f>
        <v>313.36599999864404</v>
      </c>
      <c r="N476" s="301">
        <f t="shared" ref="N476" si="1272">SUM(N474:N475)</f>
        <v>46.891000000386462</v>
      </c>
      <c r="O476" s="301">
        <f t="shared" si="1264"/>
        <v>1106.4329999965823</v>
      </c>
      <c r="P476" s="301"/>
      <c r="Q476" s="301">
        <f>SUM(Q474:Q475)</f>
        <v>760.72900000179379</v>
      </c>
      <c r="R476" s="301">
        <f t="shared" ref="R476" si="1273">SUM(R474:R475)</f>
        <v>326.5749999990586</v>
      </c>
      <c r="S476" s="301">
        <f t="shared" ref="S476" si="1274">SUM(S474:S475)</f>
        <v>48.269000000957107</v>
      </c>
      <c r="T476" s="301">
        <f t="shared" si="1265"/>
        <v>1135.5730000018093</v>
      </c>
      <c r="U476" s="301"/>
      <c r="V476" s="301">
        <f>SUM(V474:V475)</f>
        <v>765.11900000207618</v>
      </c>
      <c r="W476" s="301">
        <f t="shared" ref="W476" si="1275">SUM(W474:W475)</f>
        <v>343.06200000047164</v>
      </c>
      <c r="X476" s="301">
        <f t="shared" ref="X476" si="1276">SUM(X474:X475)</f>
        <v>49.867000000749229</v>
      </c>
      <c r="Y476" s="301">
        <f t="shared" si="1266"/>
        <v>1158.0480000032969</v>
      </c>
    </row>
    <row r="480" spans="1:25" ht="14.15" x14ac:dyDescent="0.35">
      <c r="A480" s="265" t="str">
        <f>"Industry 19 : "&amp; name!B22</f>
        <v>Industry 19 : Education</v>
      </c>
      <c r="B480" s="372">
        <f>$B$5</f>
        <v>2015</v>
      </c>
      <c r="C480" s="372"/>
      <c r="D480" s="372"/>
      <c r="E480" s="372"/>
      <c r="F480" s="320"/>
      <c r="G480" s="372">
        <f>$G$5</f>
        <v>2019</v>
      </c>
      <c r="H480" s="372"/>
      <c r="I480" s="372"/>
      <c r="J480" s="372"/>
      <c r="K480" s="320"/>
      <c r="L480" s="372">
        <f>$L$5</f>
        <v>2020</v>
      </c>
      <c r="M480" s="372"/>
      <c r="N480" s="372"/>
      <c r="O480" s="372"/>
      <c r="P480" s="318"/>
      <c r="Q480" s="372">
        <f>$Q$5</f>
        <v>2025</v>
      </c>
      <c r="R480" s="372"/>
      <c r="S480" s="372"/>
      <c r="T480" s="372"/>
      <c r="U480" s="320"/>
      <c r="V480" s="372">
        <f>$V$5</f>
        <v>2035</v>
      </c>
      <c r="W480" s="372"/>
      <c r="X480" s="372"/>
      <c r="Y480" s="372"/>
    </row>
    <row r="481" spans="1:25" ht="12.45" x14ac:dyDescent="0.3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ht="12.45" x14ac:dyDescent="0.3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ht="12.45" x14ac:dyDescent="0.3">
      <c r="A483" s="261" t="str">
        <f>name!A68</f>
        <v xml:space="preserve">Education </v>
      </c>
      <c r="C483" s="263"/>
    </row>
    <row r="484" spans="1:25" ht="12.45" x14ac:dyDescent="0.3">
      <c r="A484" s="260" t="s">
        <v>356</v>
      </c>
      <c r="B484" s="300">
        <v>721.16800001554645</v>
      </c>
      <c r="C484" s="300">
        <v>880.06499996354376</v>
      </c>
      <c r="D484" s="300">
        <v>151.85099999816731</v>
      </c>
      <c r="E484" s="300">
        <f>SUM(B484:D484)</f>
        <v>1753.0839999772575</v>
      </c>
      <c r="F484" s="300"/>
      <c r="G484" s="300">
        <v>722.19700003165974</v>
      </c>
      <c r="H484" s="300">
        <v>893.63099996191374</v>
      </c>
      <c r="I484" s="300">
        <v>147.07699999815725</v>
      </c>
      <c r="J484" s="300">
        <f>SUM(G484:I484)</f>
        <v>1762.9049999917306</v>
      </c>
      <c r="K484" s="300"/>
      <c r="L484" s="300">
        <v>724.83700002794342</v>
      </c>
      <c r="M484" s="300">
        <v>877.25199995914556</v>
      </c>
      <c r="N484" s="300">
        <v>177.12599999875852</v>
      </c>
      <c r="O484" s="300">
        <f>SUM(L484:N484)</f>
        <v>1779.2149999858475</v>
      </c>
      <c r="P484" s="300"/>
      <c r="Q484" s="300">
        <v>745.85299991327918</v>
      </c>
      <c r="R484" s="300">
        <v>864.18299992415587</v>
      </c>
      <c r="S484" s="300">
        <v>178.70099999975463</v>
      </c>
      <c r="T484" s="300">
        <f>SUM(Q484:S484)</f>
        <v>1788.7369998371898</v>
      </c>
      <c r="U484" s="300"/>
      <c r="V484" s="300">
        <v>810.55000002116003</v>
      </c>
      <c r="W484" s="300">
        <v>858.88900000860656</v>
      </c>
      <c r="X484" s="300">
        <v>185.11900000154711</v>
      </c>
      <c r="Y484" s="300">
        <f>SUM(V484:X484)</f>
        <v>1854.5580000313139</v>
      </c>
    </row>
    <row r="485" spans="1:25" ht="12.45" x14ac:dyDescent="0.3">
      <c r="A485" s="260" t="s">
        <v>355</v>
      </c>
      <c r="B485" s="300">
        <v>489.76800001489306</v>
      </c>
      <c r="C485" s="300">
        <v>178.32899998901496</v>
      </c>
      <c r="D485" s="300">
        <v>106.13500000178529</v>
      </c>
      <c r="E485" s="300">
        <f t="shared" ref="E485" si="1277">SUM(B485:D485)</f>
        <v>774.23200000569341</v>
      </c>
      <c r="F485" s="300"/>
      <c r="G485" s="300">
        <v>469.18800001088744</v>
      </c>
      <c r="H485" s="300">
        <v>185.54699998838137</v>
      </c>
      <c r="I485" s="300">
        <v>106.15899999622073</v>
      </c>
      <c r="J485" s="300">
        <f t="shared" ref="J485:J486" si="1278">SUM(G485:I485)</f>
        <v>760.89399999548948</v>
      </c>
      <c r="K485" s="300"/>
      <c r="L485" s="300">
        <v>463.67000001589633</v>
      </c>
      <c r="M485" s="300">
        <v>181.83700000519244</v>
      </c>
      <c r="N485" s="300">
        <v>107.05800000289776</v>
      </c>
      <c r="O485" s="300">
        <f t="shared" ref="O485:O486" si="1279">SUM(L485:N485)</f>
        <v>752.5650000239865</v>
      </c>
      <c r="P485" s="300"/>
      <c r="Q485" s="300">
        <v>460.48099998972884</v>
      </c>
      <c r="R485" s="300">
        <v>184.99199999938304</v>
      </c>
      <c r="S485" s="300">
        <v>109.1140000085876</v>
      </c>
      <c r="T485" s="300">
        <f t="shared" ref="T485:T486" si="1280">SUM(Q485:S485)</f>
        <v>754.58699999769954</v>
      </c>
      <c r="U485" s="300"/>
      <c r="V485" s="300">
        <v>466.26599999738096</v>
      </c>
      <c r="W485" s="300">
        <v>196.05499999785681</v>
      </c>
      <c r="X485" s="300">
        <v>116.3540000068942</v>
      </c>
      <c r="Y485" s="300">
        <f t="shared" ref="Y485:Y486" si="1281">SUM(V485:X485)</f>
        <v>778.67500000213204</v>
      </c>
    </row>
    <row r="486" spans="1:25" ht="12.45" x14ac:dyDescent="0.3">
      <c r="A486" s="264" t="s">
        <v>354</v>
      </c>
      <c r="B486" s="301">
        <f>SUM(B484:B485)</f>
        <v>1210.9360000304396</v>
      </c>
      <c r="C486" s="301">
        <f t="shared" ref="C486" si="1282">SUM(C484:C485)</f>
        <v>1058.3939999525587</v>
      </c>
      <c r="D486" s="301">
        <f t="shared" ref="D486" si="1283">SUM(D484:D485)</f>
        <v>257.98599999995258</v>
      </c>
      <c r="E486" s="301">
        <f>SUM(B486:D486)</f>
        <v>2527.3159999829509</v>
      </c>
      <c r="F486" s="301"/>
      <c r="G486" s="301">
        <f>SUM(G484:G485)</f>
        <v>1191.3850000425473</v>
      </c>
      <c r="H486" s="301">
        <f t="shared" ref="H486" si="1284">SUM(H484:H485)</f>
        <v>1079.1779999502951</v>
      </c>
      <c r="I486" s="301">
        <f t="shared" ref="I486" si="1285">SUM(I484:I485)</f>
        <v>253.23599999437798</v>
      </c>
      <c r="J486" s="301">
        <f t="shared" si="1278"/>
        <v>2523.7989999872202</v>
      </c>
      <c r="K486" s="301"/>
      <c r="L486" s="301">
        <f>SUM(L484:L485)</f>
        <v>1188.5070000438398</v>
      </c>
      <c r="M486" s="301">
        <f t="shared" ref="M486" si="1286">SUM(M484:M485)</f>
        <v>1059.088999964338</v>
      </c>
      <c r="N486" s="301">
        <f t="shared" ref="N486" si="1287">SUM(N484:N485)</f>
        <v>284.18400000165627</v>
      </c>
      <c r="O486" s="301">
        <f t="shared" si="1279"/>
        <v>2531.7800000098341</v>
      </c>
      <c r="P486" s="301"/>
      <c r="Q486" s="301">
        <f>SUM(Q484:Q485)</f>
        <v>1206.3339999030081</v>
      </c>
      <c r="R486" s="301">
        <f t="shared" ref="R486" si="1288">SUM(R484:R485)</f>
        <v>1049.174999923539</v>
      </c>
      <c r="S486" s="301">
        <f t="shared" ref="S486" si="1289">SUM(S484:S485)</f>
        <v>287.81500000834222</v>
      </c>
      <c r="T486" s="301">
        <f t="shared" si="1280"/>
        <v>2543.3239998348895</v>
      </c>
      <c r="U486" s="301"/>
      <c r="V486" s="301">
        <f>SUM(V484:V485)</f>
        <v>1276.816000018541</v>
      </c>
      <c r="W486" s="301">
        <f t="shared" ref="W486" si="1290">SUM(W484:W485)</f>
        <v>1054.9440000064633</v>
      </c>
      <c r="X486" s="301">
        <f t="shared" ref="X486" si="1291">SUM(X484:X485)</f>
        <v>301.47300000844132</v>
      </c>
      <c r="Y486" s="301">
        <f t="shared" si="1281"/>
        <v>2633.2330000334455</v>
      </c>
    </row>
    <row r="490" spans="1:25" ht="14.15" x14ac:dyDescent="0.35">
      <c r="A490" s="265" t="str">
        <f>"Industry 20 : "&amp; name!B23</f>
        <v>Industry 20 : Health and social work</v>
      </c>
      <c r="B490" s="372">
        <f>$B$5</f>
        <v>2015</v>
      </c>
      <c r="C490" s="372"/>
      <c r="D490" s="372"/>
      <c r="E490" s="372"/>
      <c r="F490" s="320"/>
      <c r="G490" s="372">
        <f>$G$5</f>
        <v>2019</v>
      </c>
      <c r="H490" s="372"/>
      <c r="I490" s="372"/>
      <c r="J490" s="372"/>
      <c r="K490" s="320"/>
      <c r="L490" s="372">
        <f>$L$5</f>
        <v>2020</v>
      </c>
      <c r="M490" s="372"/>
      <c r="N490" s="372"/>
      <c r="O490" s="372"/>
      <c r="P490" s="318"/>
      <c r="Q490" s="372">
        <f>$Q$5</f>
        <v>2025</v>
      </c>
      <c r="R490" s="372"/>
      <c r="S490" s="372"/>
      <c r="T490" s="372"/>
      <c r="U490" s="320"/>
      <c r="V490" s="372">
        <f>$V$5</f>
        <v>2035</v>
      </c>
      <c r="W490" s="372"/>
      <c r="X490" s="372"/>
      <c r="Y490" s="372"/>
    </row>
    <row r="491" spans="1:25" ht="12.45" x14ac:dyDescent="0.3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ht="12.45" x14ac:dyDescent="0.3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ht="12.45" x14ac:dyDescent="0.3">
      <c r="A493" s="261" t="str">
        <f>name!A69</f>
        <v>Health</v>
      </c>
      <c r="C493" s="263"/>
    </row>
    <row r="494" spans="1:25" ht="12.45" x14ac:dyDescent="0.3">
      <c r="A494" s="260" t="s">
        <v>356</v>
      </c>
      <c r="B494" s="300">
        <v>757.18199999589626</v>
      </c>
      <c r="C494" s="300">
        <v>655.15799998751424</v>
      </c>
      <c r="D494" s="300">
        <v>96.63899999240239</v>
      </c>
      <c r="E494" s="300">
        <f>SUM(B494:D494)</f>
        <v>1508.9789999758129</v>
      </c>
      <c r="F494" s="300"/>
      <c r="G494" s="300">
        <v>823.8379999984835</v>
      </c>
      <c r="H494" s="300">
        <v>713.00699999099925</v>
      </c>
      <c r="I494" s="300">
        <v>114.82899999165389</v>
      </c>
      <c r="J494" s="300">
        <f>SUM(G494:I494)</f>
        <v>1651.6739999811368</v>
      </c>
      <c r="K494" s="300"/>
      <c r="L494" s="300">
        <v>862.28999999830546</v>
      </c>
      <c r="M494" s="300">
        <v>732.19299998800227</v>
      </c>
      <c r="N494" s="300">
        <v>104.23700000774645</v>
      </c>
      <c r="O494" s="300">
        <f>SUM(L494:N494)</f>
        <v>1698.7199999940542</v>
      </c>
      <c r="P494" s="300"/>
      <c r="Q494" s="300">
        <v>923.54399999677366</v>
      </c>
      <c r="R494" s="300">
        <v>765.03899997708015</v>
      </c>
      <c r="S494" s="300">
        <v>118.86000000017764</v>
      </c>
      <c r="T494" s="300">
        <f>SUM(Q494:S494)</f>
        <v>1807.4429999740316</v>
      </c>
      <c r="U494" s="300"/>
      <c r="V494" s="300">
        <v>997.34599999863963</v>
      </c>
      <c r="W494" s="300">
        <v>785.82899999660947</v>
      </c>
      <c r="X494" s="300">
        <v>143.63099999988827</v>
      </c>
      <c r="Y494" s="300">
        <f>SUM(V494:X494)</f>
        <v>1926.8059999951372</v>
      </c>
    </row>
    <row r="495" spans="1:25" ht="12.45" x14ac:dyDescent="0.3">
      <c r="A495" s="260" t="s">
        <v>355</v>
      </c>
      <c r="B495" s="300">
        <v>309.16599999682973</v>
      </c>
      <c r="C495" s="300">
        <v>74.664999999682138</v>
      </c>
      <c r="D495" s="300">
        <v>63.347000002328613</v>
      </c>
      <c r="E495" s="300">
        <f t="shared" ref="E495:E496" si="1292">SUM(B495:D495)</f>
        <v>447.17799999884051</v>
      </c>
      <c r="F495" s="300"/>
      <c r="G495" s="300">
        <v>345.67199999811777</v>
      </c>
      <c r="H495" s="300">
        <v>88.897999999688665</v>
      </c>
      <c r="I495" s="300">
        <v>62.199999999887581</v>
      </c>
      <c r="J495" s="300">
        <f t="shared" ref="J495:J496" si="1293">SUM(G495:I495)</f>
        <v>496.76999999769407</v>
      </c>
      <c r="K495" s="300"/>
      <c r="L495" s="300">
        <v>350.42099999852962</v>
      </c>
      <c r="M495" s="300">
        <v>91.354000000186247</v>
      </c>
      <c r="N495" s="300">
        <v>72.529000002830998</v>
      </c>
      <c r="O495" s="300">
        <f t="shared" ref="O495:O496" si="1294">SUM(L495:N495)</f>
        <v>514.30400000154691</v>
      </c>
      <c r="P495" s="300"/>
      <c r="Q495" s="300">
        <v>372.60299999924081</v>
      </c>
      <c r="R495" s="300">
        <v>100.34000000002578</v>
      </c>
      <c r="S495" s="300">
        <v>73.144000007496814</v>
      </c>
      <c r="T495" s="300">
        <f t="shared" ref="T495:T496" si="1295">SUM(Q495:S495)</f>
        <v>546.08700000676345</v>
      </c>
      <c r="U495" s="300"/>
      <c r="V495" s="300">
        <v>396.51299999930859</v>
      </c>
      <c r="W495" s="300">
        <v>113.55500000008965</v>
      </c>
      <c r="X495" s="300">
        <v>69.389000004825277</v>
      </c>
      <c r="Y495" s="300">
        <f t="shared" ref="Y495:Y496" si="1296">SUM(V495:X495)</f>
        <v>579.45700000422357</v>
      </c>
    </row>
    <row r="496" spans="1:25" ht="12.45" x14ac:dyDescent="0.3">
      <c r="A496" s="260" t="s">
        <v>354</v>
      </c>
      <c r="B496" s="300">
        <f>SUM(B494:B495)</f>
        <v>1066.347999992726</v>
      </c>
      <c r="C496" s="300">
        <f t="shared" ref="C496" si="1297">SUM(C494:C495)</f>
        <v>729.82299998719634</v>
      </c>
      <c r="D496" s="300">
        <f t="shared" ref="D496" si="1298">SUM(D494:D495)</f>
        <v>159.985999994731</v>
      </c>
      <c r="E496" s="300">
        <f t="shared" si="1292"/>
        <v>1956.1569999746532</v>
      </c>
      <c r="F496" s="300"/>
      <c r="G496" s="300">
        <f>SUM(G494:G495)</f>
        <v>1169.5099999966012</v>
      </c>
      <c r="H496" s="300">
        <f t="shared" ref="H496" si="1299">SUM(H494:H495)</f>
        <v>801.90499999068788</v>
      </c>
      <c r="I496" s="300">
        <f t="shared" ref="I496" si="1300">SUM(I494:I495)</f>
        <v>177.02899999154147</v>
      </c>
      <c r="J496" s="300">
        <f t="shared" si="1293"/>
        <v>2148.4439999788306</v>
      </c>
      <c r="K496" s="300"/>
      <c r="L496" s="300">
        <f>SUM(L494:L495)</f>
        <v>1212.7109999968352</v>
      </c>
      <c r="M496" s="300">
        <f t="shared" ref="M496" si="1301">SUM(M494:M495)</f>
        <v>823.54699998818853</v>
      </c>
      <c r="N496" s="300">
        <f t="shared" ref="N496" si="1302">SUM(N494:N495)</f>
        <v>176.76600001057744</v>
      </c>
      <c r="O496" s="300">
        <f t="shared" si="1294"/>
        <v>2213.0239999956011</v>
      </c>
      <c r="P496" s="300"/>
      <c r="Q496" s="300">
        <f>SUM(Q494:Q495)</f>
        <v>1296.1469999960145</v>
      </c>
      <c r="R496" s="300">
        <f t="shared" ref="R496" si="1303">SUM(R494:R495)</f>
        <v>865.37899997710588</v>
      </c>
      <c r="S496" s="300">
        <f t="shared" ref="S496" si="1304">SUM(S494:S495)</f>
        <v>192.00400000767445</v>
      </c>
      <c r="T496" s="300">
        <f t="shared" si="1295"/>
        <v>2353.5299999807949</v>
      </c>
      <c r="U496" s="300"/>
      <c r="V496" s="300">
        <f>SUM(V494:V495)</f>
        <v>1393.8589999979481</v>
      </c>
      <c r="W496" s="300">
        <f t="shared" ref="W496" si="1305">SUM(W494:W495)</f>
        <v>899.38399999669912</v>
      </c>
      <c r="X496" s="300">
        <f t="shared" ref="X496" si="1306">SUM(X494:X495)</f>
        <v>213.02000000471355</v>
      </c>
      <c r="Y496" s="300">
        <f t="shared" si="1296"/>
        <v>2506.2629999993605</v>
      </c>
    </row>
    <row r="497" spans="1:25" ht="12.45" x14ac:dyDescent="0.3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ht="12.45" x14ac:dyDescent="0.3">
      <c r="A498" s="261" t="str">
        <f>name!A70</f>
        <v>Residential care</v>
      </c>
      <c r="C498" s="263"/>
    </row>
    <row r="499" spans="1:25" ht="12.45" x14ac:dyDescent="0.3">
      <c r="A499" s="260" t="s">
        <v>356</v>
      </c>
      <c r="B499" s="300">
        <v>254.13099999861217</v>
      </c>
      <c r="C499" s="300">
        <v>228.78499999570533</v>
      </c>
      <c r="D499" s="300">
        <v>45.92199999639405</v>
      </c>
      <c r="E499" s="300">
        <f>SUM(B499:D499)</f>
        <v>528.83799999071152</v>
      </c>
      <c r="F499" s="300"/>
      <c r="G499" s="300">
        <v>272.92799999936574</v>
      </c>
      <c r="H499" s="300">
        <v>220.81599999727354</v>
      </c>
      <c r="I499" s="300">
        <v>57.102999995875365</v>
      </c>
      <c r="J499" s="300">
        <f>SUM(G499:I499)</f>
        <v>550.84699999251461</v>
      </c>
      <c r="K499" s="300"/>
      <c r="L499" s="300">
        <v>261.07399999939952</v>
      </c>
      <c r="M499" s="300">
        <v>204.72299999667845</v>
      </c>
      <c r="N499" s="300">
        <v>43.285000003192458</v>
      </c>
      <c r="O499" s="300">
        <f>SUM(L499:N499)</f>
        <v>509.08199999927041</v>
      </c>
      <c r="P499" s="300"/>
      <c r="Q499" s="300">
        <v>292.12699999892607</v>
      </c>
      <c r="R499" s="300">
        <v>207.10699999385173</v>
      </c>
      <c r="S499" s="300">
        <v>47.587000000067988</v>
      </c>
      <c r="T499" s="300">
        <f>SUM(Q499:S499)</f>
        <v>546.82099999284583</v>
      </c>
      <c r="U499" s="300"/>
      <c r="V499" s="300">
        <v>342.47999999955891</v>
      </c>
      <c r="W499" s="300">
        <v>196.55499999906479</v>
      </c>
      <c r="X499" s="300">
        <v>51.777999999974767</v>
      </c>
      <c r="Y499" s="300">
        <f>SUM(V499:X499)</f>
        <v>590.81299999859846</v>
      </c>
    </row>
    <row r="500" spans="1:25" ht="12.45" x14ac:dyDescent="0.3">
      <c r="A500" s="260" t="s">
        <v>355</v>
      </c>
      <c r="B500" s="300">
        <v>91.463999999117547</v>
      </c>
      <c r="C500" s="300">
        <v>42.583999999815063</v>
      </c>
      <c r="D500" s="300">
        <v>9.6470000003572878</v>
      </c>
      <c r="E500" s="300">
        <f t="shared" ref="E500:E501" si="1307">SUM(B500:D500)</f>
        <v>143.69499999928988</v>
      </c>
      <c r="F500" s="300"/>
      <c r="G500" s="300">
        <v>78.842999999575213</v>
      </c>
      <c r="H500" s="300">
        <v>34.4259999998797</v>
      </c>
      <c r="I500" s="300">
        <v>8.7289999999888117</v>
      </c>
      <c r="J500" s="300">
        <f t="shared" ref="J500:J501" si="1308">SUM(G500:I500)</f>
        <v>121.99799999944372</v>
      </c>
      <c r="K500" s="300"/>
      <c r="L500" s="300">
        <v>81.846999999460195</v>
      </c>
      <c r="M500" s="300">
        <v>37.999000000086539</v>
      </c>
      <c r="N500" s="300">
        <v>7.1060000002195824</v>
      </c>
      <c r="O500" s="300">
        <f t="shared" ref="O500:O501" si="1309">SUM(L500:N500)</f>
        <v>126.95199999976631</v>
      </c>
      <c r="P500" s="300"/>
      <c r="Q500" s="300">
        <v>87.342999999653273</v>
      </c>
      <c r="R500" s="300">
        <v>40.574000000021265</v>
      </c>
      <c r="S500" s="300">
        <v>7.5440000006828027</v>
      </c>
      <c r="T500" s="300">
        <f t="shared" ref="T500:T501" si="1310">SUM(Q500:S500)</f>
        <v>135.46100000035736</v>
      </c>
      <c r="U500" s="300"/>
      <c r="V500" s="300">
        <v>94.201999999621123</v>
      </c>
      <c r="W500" s="300">
        <v>43.312000000038523</v>
      </c>
      <c r="X500" s="300">
        <v>7.9280000004521769</v>
      </c>
      <c r="Y500" s="300">
        <f t="shared" ref="Y500:Y501" si="1311">SUM(V500:X500)</f>
        <v>145.44200000011182</v>
      </c>
    </row>
    <row r="501" spans="1:25" ht="12.45" x14ac:dyDescent="0.3">
      <c r="A501" s="260" t="s">
        <v>354</v>
      </c>
      <c r="B501" s="300">
        <f>SUM(B499:B500)</f>
        <v>345.5949999977297</v>
      </c>
      <c r="C501" s="300">
        <f t="shared" ref="C501" si="1312">SUM(C499:C500)</f>
        <v>271.36899999552043</v>
      </c>
      <c r="D501" s="300">
        <f t="shared" ref="D501" si="1313">SUM(D499:D500)</f>
        <v>55.568999996751337</v>
      </c>
      <c r="E501" s="300">
        <f t="shared" si="1307"/>
        <v>672.53299999000149</v>
      </c>
      <c r="F501" s="300"/>
      <c r="G501" s="300">
        <f>SUM(G499:G500)</f>
        <v>351.77099999894097</v>
      </c>
      <c r="H501" s="300">
        <f t="shared" ref="H501" si="1314">SUM(H499:H500)</f>
        <v>255.24199999715324</v>
      </c>
      <c r="I501" s="300">
        <f t="shared" ref="I501" si="1315">SUM(I499:I500)</f>
        <v>65.83199999586418</v>
      </c>
      <c r="J501" s="300">
        <f t="shared" si="1308"/>
        <v>672.84499999195839</v>
      </c>
      <c r="K501" s="300"/>
      <c r="L501" s="300">
        <f>SUM(L499:L500)</f>
        <v>342.92099999885971</v>
      </c>
      <c r="M501" s="300">
        <f t="shared" ref="M501" si="1316">SUM(M499:M500)</f>
        <v>242.72199999676499</v>
      </c>
      <c r="N501" s="300">
        <f t="shared" ref="N501" si="1317">SUM(N499:N500)</f>
        <v>50.391000003412039</v>
      </c>
      <c r="O501" s="300">
        <f t="shared" si="1309"/>
        <v>636.03399999903672</v>
      </c>
      <c r="P501" s="300"/>
      <c r="Q501" s="300">
        <f>SUM(Q499:Q500)</f>
        <v>379.46999999857934</v>
      </c>
      <c r="R501" s="300">
        <f t="shared" ref="R501" si="1318">SUM(R499:R500)</f>
        <v>247.680999993873</v>
      </c>
      <c r="S501" s="300">
        <f t="shared" ref="S501" si="1319">SUM(S499:S500)</f>
        <v>55.131000000750788</v>
      </c>
      <c r="T501" s="300">
        <f t="shared" si="1310"/>
        <v>682.28199999320316</v>
      </c>
      <c r="U501" s="300"/>
      <c r="V501" s="300">
        <f>SUM(V499:V500)</f>
        <v>436.68199999918005</v>
      </c>
      <c r="W501" s="300">
        <f t="shared" ref="W501" si="1320">SUM(W499:W500)</f>
        <v>239.86699999910331</v>
      </c>
      <c r="X501" s="300">
        <f t="shared" ref="X501" si="1321">SUM(X499:X500)</f>
        <v>59.706000000426947</v>
      </c>
      <c r="Y501" s="300">
        <f t="shared" si="1311"/>
        <v>736.25499999871022</v>
      </c>
    </row>
    <row r="502" spans="1:25" ht="12.45" x14ac:dyDescent="0.3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ht="12.45" x14ac:dyDescent="0.3">
      <c r="A503" s="261" t="str">
        <f>name!A71</f>
        <v>Social work</v>
      </c>
      <c r="C503" s="263"/>
    </row>
    <row r="504" spans="1:25" ht="12.45" x14ac:dyDescent="0.3">
      <c r="A504" s="260" t="s">
        <v>356</v>
      </c>
      <c r="B504" s="300">
        <v>290.65999999846446</v>
      </c>
      <c r="C504" s="300">
        <v>322.94299999383873</v>
      </c>
      <c r="D504" s="300">
        <v>54.359999995714034</v>
      </c>
      <c r="E504" s="300">
        <f>SUM(B504:D504)</f>
        <v>667.96299998801726</v>
      </c>
      <c r="F504" s="300"/>
      <c r="G504" s="300">
        <v>300.56999999948255</v>
      </c>
      <c r="H504" s="300">
        <v>328.1399999958536</v>
      </c>
      <c r="I504" s="300">
        <v>68.451999995053171</v>
      </c>
      <c r="J504" s="300">
        <f>SUM(G504:I504)</f>
        <v>697.16199999038929</v>
      </c>
      <c r="K504" s="300"/>
      <c r="L504" s="300">
        <v>288.70099999945728</v>
      </c>
      <c r="M504" s="300">
        <v>303.09399999502944</v>
      </c>
      <c r="N504" s="300">
        <v>51.61000000384805</v>
      </c>
      <c r="O504" s="300">
        <f>SUM(L504:N504)</f>
        <v>643.4049999983348</v>
      </c>
      <c r="P504" s="300"/>
      <c r="Q504" s="300">
        <v>320.67899999900476</v>
      </c>
      <c r="R504" s="300">
        <v>305.32299999077532</v>
      </c>
      <c r="S504" s="300">
        <v>56.477000000126054</v>
      </c>
      <c r="T504" s="300">
        <f>SUM(Q504:S504)</f>
        <v>682.47899998990613</v>
      </c>
      <c r="U504" s="300"/>
      <c r="V504" s="300">
        <v>372.54299999953093</v>
      </c>
      <c r="W504" s="300">
        <v>288.14899999859267</v>
      </c>
      <c r="X504" s="300">
        <v>61.130999999964828</v>
      </c>
      <c r="Y504" s="300">
        <f>SUM(V504:X504)</f>
        <v>721.82299999808845</v>
      </c>
    </row>
    <row r="505" spans="1:25" ht="12.45" x14ac:dyDescent="0.3">
      <c r="A505" s="260" t="s">
        <v>355</v>
      </c>
      <c r="B505" s="300">
        <v>109.92599999879629</v>
      </c>
      <c r="C505" s="300">
        <v>51.366999999775857</v>
      </c>
      <c r="D505" s="300">
        <v>13.314000000490045</v>
      </c>
      <c r="E505" s="300">
        <f t="shared" ref="E505:E506" si="1322">SUM(B505:D505)</f>
        <v>174.6069999990622</v>
      </c>
      <c r="F505" s="300"/>
      <c r="G505" s="300">
        <v>91.199999999480127</v>
      </c>
      <c r="H505" s="300">
        <v>46.602999999843938</v>
      </c>
      <c r="I505" s="300">
        <v>12.216999999965456</v>
      </c>
      <c r="J505" s="300">
        <f t="shared" ref="J505:J506" si="1323">SUM(G505:I505)</f>
        <v>150.01999999928952</v>
      </c>
      <c r="K505" s="300"/>
      <c r="L505" s="300">
        <v>95.278999999709242</v>
      </c>
      <c r="M505" s="300">
        <v>50.375000000108173</v>
      </c>
      <c r="N505" s="300">
        <v>9.9250000003965813</v>
      </c>
      <c r="O505" s="300">
        <f t="shared" ref="O505:O506" si="1324">SUM(L505:N505)</f>
        <v>155.57900000021399</v>
      </c>
      <c r="P505" s="300"/>
      <c r="Q505" s="300">
        <v>100.97899999988763</v>
      </c>
      <c r="R505" s="300">
        <v>53.501000000019872</v>
      </c>
      <c r="S505" s="300">
        <v>10.443000001065787</v>
      </c>
      <c r="T505" s="300">
        <f t="shared" ref="T505:T506" si="1325">SUM(Q505:S505)</f>
        <v>164.9230000009733</v>
      </c>
      <c r="U505" s="300"/>
      <c r="V505" s="300">
        <v>108.09099999993597</v>
      </c>
      <c r="W505" s="300">
        <v>56.746000000046919</v>
      </c>
      <c r="X505" s="300">
        <v>10.856000000746485</v>
      </c>
      <c r="Y505" s="300">
        <f t="shared" ref="Y505:Y506" si="1326">SUM(V505:X505)</f>
        <v>175.69300000072937</v>
      </c>
    </row>
    <row r="506" spans="1:25" ht="12.45" x14ac:dyDescent="0.3">
      <c r="A506" s="260" t="s">
        <v>354</v>
      </c>
      <c r="B506" s="300">
        <f>SUM(B504:B505)</f>
        <v>400.58599999726073</v>
      </c>
      <c r="C506" s="300">
        <f t="shared" ref="C506" si="1327">SUM(C504:C505)</f>
        <v>374.30999999361461</v>
      </c>
      <c r="D506" s="300">
        <f t="shared" ref="D506" si="1328">SUM(D504:D505)</f>
        <v>67.673999996204074</v>
      </c>
      <c r="E506" s="300">
        <f t="shared" si="1322"/>
        <v>842.56999998707943</v>
      </c>
      <c r="F506" s="300"/>
      <c r="G506" s="300">
        <f>SUM(G504:G505)</f>
        <v>391.7699999989627</v>
      </c>
      <c r="H506" s="300">
        <f t="shared" ref="H506" si="1329">SUM(H504:H505)</f>
        <v>374.74299999569752</v>
      </c>
      <c r="I506" s="300">
        <f t="shared" ref="I506" si="1330">SUM(I504:I505)</f>
        <v>80.668999995018623</v>
      </c>
      <c r="J506" s="300">
        <f t="shared" si="1323"/>
        <v>847.18199998967884</v>
      </c>
      <c r="K506" s="300"/>
      <c r="L506" s="300">
        <f>SUM(L504:L505)</f>
        <v>383.97999999916652</v>
      </c>
      <c r="M506" s="300">
        <f t="shared" ref="M506" si="1331">SUM(M504:M505)</f>
        <v>353.46899999513761</v>
      </c>
      <c r="N506" s="300">
        <f t="shared" ref="N506" si="1332">SUM(N504:N505)</f>
        <v>61.53500000424463</v>
      </c>
      <c r="O506" s="300">
        <f t="shared" si="1324"/>
        <v>798.98399999854871</v>
      </c>
      <c r="P506" s="300"/>
      <c r="Q506" s="300">
        <f>SUM(Q504:Q505)</f>
        <v>421.65799999889236</v>
      </c>
      <c r="R506" s="300">
        <f t="shared" ref="R506" si="1333">SUM(R504:R505)</f>
        <v>358.82399999079519</v>
      </c>
      <c r="S506" s="300">
        <f t="shared" ref="S506" si="1334">SUM(S504:S505)</f>
        <v>66.920000001191838</v>
      </c>
      <c r="T506" s="300">
        <f t="shared" si="1325"/>
        <v>847.4019999908794</v>
      </c>
      <c r="U506" s="300"/>
      <c r="V506" s="300">
        <f>SUM(V504:V505)</f>
        <v>480.63399999946694</v>
      </c>
      <c r="W506" s="300">
        <f t="shared" ref="W506" si="1335">SUM(W504:W505)</f>
        <v>344.89499999863961</v>
      </c>
      <c r="X506" s="300">
        <f t="shared" ref="X506" si="1336">SUM(X504:X505)</f>
        <v>71.987000000711319</v>
      </c>
      <c r="Y506" s="300">
        <f t="shared" si="1326"/>
        <v>897.51599999881785</v>
      </c>
    </row>
    <row r="507" spans="1:25" ht="12.45" x14ac:dyDescent="0.3">
      <c r="C507" s="263"/>
    </row>
    <row r="508" spans="1:25" ht="12.45" x14ac:dyDescent="0.3">
      <c r="A508" s="261" t="s">
        <v>359</v>
      </c>
      <c r="C508" s="263"/>
    </row>
    <row r="509" spans="1:25" ht="12.45" x14ac:dyDescent="0.3">
      <c r="A509" s="260" t="s">
        <v>356</v>
      </c>
      <c r="B509" s="300">
        <f>SUM(B494,B499,B504)</f>
        <v>1301.972999992973</v>
      </c>
      <c r="C509" s="300">
        <f t="shared" ref="C509:D509" si="1337">SUM(C494,C499,C504)</f>
        <v>1206.8859999770584</v>
      </c>
      <c r="D509" s="300">
        <f t="shared" si="1337"/>
        <v>196.92099998451044</v>
      </c>
      <c r="E509" s="300">
        <f>SUM(B509:D509)</f>
        <v>2705.7799999545423</v>
      </c>
      <c r="F509" s="300"/>
      <c r="G509" s="300">
        <f>SUM(G494,G499,G504)</f>
        <v>1397.3359999973318</v>
      </c>
      <c r="H509" s="300">
        <f t="shared" ref="H509:I509" si="1338">SUM(H494,H499,H504)</f>
        <v>1261.9629999841263</v>
      </c>
      <c r="I509" s="300">
        <f t="shared" si="1338"/>
        <v>240.38399998258242</v>
      </c>
      <c r="J509" s="300">
        <f>SUM(G509:I509)</f>
        <v>2899.6829999640404</v>
      </c>
      <c r="K509" s="300"/>
      <c r="L509" s="300">
        <f>SUM(L494,L499,L504)</f>
        <v>1412.0649999971622</v>
      </c>
      <c r="M509" s="300">
        <f t="shared" ref="M509:N509" si="1339">SUM(M494,M499,M504)</f>
        <v>1240.0099999797103</v>
      </c>
      <c r="N509" s="300">
        <f t="shared" si="1339"/>
        <v>199.13200001478697</v>
      </c>
      <c r="O509" s="300">
        <f>SUM(L509:N509)</f>
        <v>2851.2069999916594</v>
      </c>
      <c r="P509" s="300"/>
      <c r="Q509" s="300">
        <f>SUM(Q494,Q499,Q504)</f>
        <v>1536.3499999947044</v>
      </c>
      <c r="R509" s="300">
        <f t="shared" ref="R509:S509" si="1340">SUM(R494,R499,R504)</f>
        <v>1277.4689999617071</v>
      </c>
      <c r="S509" s="300">
        <f t="shared" si="1340"/>
        <v>222.92400000037168</v>
      </c>
      <c r="T509" s="300">
        <f>SUM(Q509:S509)</f>
        <v>3036.742999956783</v>
      </c>
      <c r="U509" s="300"/>
      <c r="V509" s="300">
        <f>SUM(V494,V499,V504)</f>
        <v>1712.3689999977296</v>
      </c>
      <c r="W509" s="300">
        <f t="shared" ref="W509:X509" si="1341">SUM(W494,W499,W504)</f>
        <v>1270.5329999942669</v>
      </c>
      <c r="X509" s="300">
        <f t="shared" si="1341"/>
        <v>256.5399999998279</v>
      </c>
      <c r="Y509" s="300">
        <f>SUM(V509:X509)</f>
        <v>3239.4419999918246</v>
      </c>
    </row>
    <row r="510" spans="1:25" ht="12.45" x14ac:dyDescent="0.3">
      <c r="A510" s="260" t="s">
        <v>355</v>
      </c>
      <c r="B510" s="300">
        <f>SUM(B495,B500,B505)</f>
        <v>510.55599999474356</v>
      </c>
      <c r="C510" s="300">
        <f t="shared" ref="C510:D510" si="1342">SUM(C495,C500,C505)</f>
        <v>168.61599999927307</v>
      </c>
      <c r="D510" s="300">
        <f t="shared" si="1342"/>
        <v>86.308000003175948</v>
      </c>
      <c r="E510" s="300">
        <f t="shared" ref="E510:E511" si="1343">SUM(B510:D510)</f>
        <v>765.47999999719264</v>
      </c>
      <c r="F510" s="300"/>
      <c r="G510" s="300">
        <f>SUM(G495,G500,G505)</f>
        <v>515.71499999717309</v>
      </c>
      <c r="H510" s="300">
        <f t="shared" ref="H510:I510" si="1344">SUM(H495,H500,H505)</f>
        <v>169.92699999941232</v>
      </c>
      <c r="I510" s="300">
        <f t="shared" si="1344"/>
        <v>83.145999999841848</v>
      </c>
      <c r="J510" s="300">
        <f t="shared" ref="J510:J511" si="1345">SUM(G510:I510)</f>
        <v>768.78799999642717</v>
      </c>
      <c r="K510" s="300"/>
      <c r="L510" s="300">
        <f>SUM(L495,L500,L505)</f>
        <v>527.546999997699</v>
      </c>
      <c r="M510" s="300">
        <f t="shared" ref="M510:N510" si="1346">SUM(M495,M500,M505)</f>
        <v>179.72800000038097</v>
      </c>
      <c r="N510" s="300">
        <f t="shared" si="1346"/>
        <v>89.560000003447158</v>
      </c>
      <c r="O510" s="300">
        <f t="shared" ref="O510:O511" si="1347">SUM(L510:N510)</f>
        <v>796.83500000152708</v>
      </c>
      <c r="P510" s="300"/>
      <c r="Q510" s="300">
        <f>SUM(Q495,Q500,Q505)</f>
        <v>560.92499999878169</v>
      </c>
      <c r="R510" s="300">
        <f t="shared" ref="R510:S510" si="1348">SUM(R495,R500,R505)</f>
        <v>194.41500000006693</v>
      </c>
      <c r="S510" s="300">
        <f t="shared" si="1348"/>
        <v>91.131000009245398</v>
      </c>
      <c r="T510" s="300">
        <f t="shared" ref="T510:T511" si="1349">SUM(Q510:S510)</f>
        <v>846.47100000809405</v>
      </c>
      <c r="U510" s="300"/>
      <c r="V510" s="300">
        <f>SUM(V495,V500,V505)</f>
        <v>598.80599999886567</v>
      </c>
      <c r="W510" s="300">
        <f t="shared" ref="W510:X510" si="1350">SUM(W495,W500,W505)</f>
        <v>213.61300000017508</v>
      </c>
      <c r="X510" s="300">
        <f t="shared" si="1350"/>
        <v>88.173000006023941</v>
      </c>
      <c r="Y510" s="300">
        <f t="shared" ref="Y510:Y511" si="1351">SUM(V510:X510)</f>
        <v>900.59200000506473</v>
      </c>
    </row>
    <row r="511" spans="1:25" ht="12.45" x14ac:dyDescent="0.3">
      <c r="A511" s="264" t="s">
        <v>354</v>
      </c>
      <c r="B511" s="301">
        <f>SUM(B509:B510)</f>
        <v>1812.5289999877166</v>
      </c>
      <c r="C511" s="301">
        <f t="shared" ref="C511" si="1352">SUM(C509:C510)</f>
        <v>1375.5019999763315</v>
      </c>
      <c r="D511" s="301">
        <f t="shared" ref="D511" si="1353">SUM(D509:D510)</f>
        <v>283.22899998768639</v>
      </c>
      <c r="E511" s="301">
        <f t="shared" si="1343"/>
        <v>3471.2599999517342</v>
      </c>
      <c r="F511" s="301"/>
      <c r="G511" s="301">
        <f>SUM(G509:G510)</f>
        <v>1913.0509999945048</v>
      </c>
      <c r="H511" s="301">
        <f t="shared" ref="H511" si="1354">SUM(H509:H510)</f>
        <v>1431.8899999835387</v>
      </c>
      <c r="I511" s="301">
        <f t="shared" ref="I511" si="1355">SUM(I509:I510)</f>
        <v>323.52999998242427</v>
      </c>
      <c r="J511" s="301">
        <f t="shared" si="1345"/>
        <v>3668.4709999604679</v>
      </c>
      <c r="K511" s="301"/>
      <c r="L511" s="301">
        <f>SUM(L509:L510)</f>
        <v>1939.6119999948612</v>
      </c>
      <c r="M511" s="301">
        <f t="shared" ref="M511" si="1356">SUM(M509:M510)</f>
        <v>1419.7379999800912</v>
      </c>
      <c r="N511" s="301">
        <f t="shared" ref="N511" si="1357">SUM(N509:N510)</f>
        <v>288.69200001823413</v>
      </c>
      <c r="O511" s="301">
        <f t="shared" si="1347"/>
        <v>3648.0419999931864</v>
      </c>
      <c r="P511" s="301"/>
      <c r="Q511" s="301">
        <f>SUM(Q509:Q510)</f>
        <v>2097.2749999934858</v>
      </c>
      <c r="R511" s="301">
        <f t="shared" ref="R511" si="1358">SUM(R509:R510)</f>
        <v>1471.883999961774</v>
      </c>
      <c r="S511" s="301">
        <f t="shared" ref="S511" si="1359">SUM(S509:S510)</f>
        <v>314.05500000961706</v>
      </c>
      <c r="T511" s="301">
        <f t="shared" si="1349"/>
        <v>3883.2139999648771</v>
      </c>
      <c r="U511" s="301"/>
      <c r="V511" s="301">
        <f>SUM(V509:V510)</f>
        <v>2311.174999996595</v>
      </c>
      <c r="W511" s="301">
        <f t="shared" ref="W511" si="1360">SUM(W509:W510)</f>
        <v>1484.145999994442</v>
      </c>
      <c r="X511" s="301">
        <f t="shared" ref="X511" si="1361">SUM(X509:X510)</f>
        <v>344.71300000585182</v>
      </c>
      <c r="Y511" s="301">
        <f t="shared" si="1351"/>
        <v>4140.0339999968883</v>
      </c>
    </row>
    <row r="512" spans="1:25" ht="12.45" x14ac:dyDescent="0.3">
      <c r="C512" s="263"/>
    </row>
    <row r="513" spans="1:25" x14ac:dyDescent="0.35">
      <c r="A513" s="261"/>
    </row>
    <row r="514" spans="1:25" ht="12.45" x14ac:dyDescent="0.3">
      <c r="C514" s="263"/>
    </row>
    <row r="515" spans="1:25" ht="14.15" x14ac:dyDescent="0.35">
      <c r="A515" s="265" t="str">
        <f>"Industry 21 : "&amp; name!B24</f>
        <v>Industry 21 : Arts and entertainment</v>
      </c>
      <c r="B515" s="372">
        <f>$B$5</f>
        <v>2015</v>
      </c>
      <c r="C515" s="372"/>
      <c r="D515" s="372"/>
      <c r="E515" s="372"/>
      <c r="F515" s="320"/>
      <c r="G515" s="372">
        <f>$G$5</f>
        <v>2019</v>
      </c>
      <c r="H515" s="372"/>
      <c r="I515" s="372"/>
      <c r="J515" s="372"/>
      <c r="K515" s="320"/>
      <c r="L515" s="372">
        <f>$L$5</f>
        <v>2020</v>
      </c>
      <c r="M515" s="372"/>
      <c r="N515" s="372"/>
      <c r="O515" s="372"/>
      <c r="P515" s="318"/>
      <c r="Q515" s="372">
        <f>$Q$5</f>
        <v>2025</v>
      </c>
      <c r="R515" s="372"/>
      <c r="S515" s="372"/>
      <c r="T515" s="372"/>
      <c r="U515" s="320"/>
      <c r="V515" s="372">
        <f>$V$5</f>
        <v>2035</v>
      </c>
      <c r="W515" s="372"/>
      <c r="X515" s="372"/>
      <c r="Y515" s="372"/>
    </row>
    <row r="516" spans="1:25" ht="12.45" x14ac:dyDescent="0.3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35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ht="12.45" x14ac:dyDescent="0.3">
      <c r="A518" s="261" t="str">
        <f>name!A72</f>
        <v>Arts and entertainment</v>
      </c>
      <c r="C518" s="263"/>
    </row>
    <row r="519" spans="1:25" ht="12.45" x14ac:dyDescent="0.3">
      <c r="A519" s="260" t="s">
        <v>356</v>
      </c>
      <c r="B519" s="300">
        <v>22.016999999788723</v>
      </c>
      <c r="C519" s="300">
        <v>20.698000000068312</v>
      </c>
      <c r="D519" s="300">
        <v>23.249000000165402</v>
      </c>
      <c r="E519" s="300">
        <f>SUM(B519:D519)</f>
        <v>65.964000000022438</v>
      </c>
      <c r="F519" s="300"/>
      <c r="G519" s="300">
        <v>29.500999999672782</v>
      </c>
      <c r="H519" s="300">
        <v>24.582000000119542</v>
      </c>
      <c r="I519" s="300">
        <v>28.38000000015429</v>
      </c>
      <c r="J519" s="300">
        <f>SUM(G519:I519)</f>
        <v>82.462999999946618</v>
      </c>
      <c r="K519" s="300"/>
      <c r="L519" s="300">
        <v>29.43299999993372</v>
      </c>
      <c r="M519" s="300">
        <v>23.280000000059289</v>
      </c>
      <c r="N519" s="300">
        <v>49.491999999183186</v>
      </c>
      <c r="O519" s="300">
        <f>SUM(L519:N519)</f>
        <v>102.2049999991762</v>
      </c>
      <c r="P519" s="300"/>
      <c r="Q519" s="300">
        <v>27.575000000360532</v>
      </c>
      <c r="R519" s="300">
        <v>23.359000000100156</v>
      </c>
      <c r="S519" s="300">
        <v>48.712000000139867</v>
      </c>
      <c r="T519" s="300">
        <f>SUM(Q519:S519)</f>
        <v>99.646000000600552</v>
      </c>
      <c r="U519" s="300"/>
      <c r="V519" s="300">
        <v>27.134000000105004</v>
      </c>
      <c r="W519" s="300">
        <v>25.331999999908337</v>
      </c>
      <c r="X519" s="300">
        <v>54.85900000038459</v>
      </c>
      <c r="Y519" s="300">
        <f>SUM(V519:X519)</f>
        <v>107.32500000039792</v>
      </c>
    </row>
    <row r="520" spans="1:25" ht="12.45" x14ac:dyDescent="0.3">
      <c r="A520" s="260" t="s">
        <v>355</v>
      </c>
      <c r="B520" s="300">
        <v>24.258999999887838</v>
      </c>
      <c r="C520" s="300">
        <v>9.9310000000875576</v>
      </c>
      <c r="D520" s="300">
        <v>50.662000001476706</v>
      </c>
      <c r="E520" s="300">
        <f t="shared" ref="E520:E521" si="1362">SUM(B520:D520)</f>
        <v>84.852000001452097</v>
      </c>
      <c r="F520" s="300"/>
      <c r="G520" s="300">
        <v>28.743999999942524</v>
      </c>
      <c r="H520" s="300">
        <v>13.424000000088618</v>
      </c>
      <c r="I520" s="300">
        <v>48.086000000188953</v>
      </c>
      <c r="J520" s="300">
        <f t="shared" ref="J520:J521" si="1363">SUM(G520:I520)</f>
        <v>90.254000000220088</v>
      </c>
      <c r="K520" s="300"/>
      <c r="L520" s="300">
        <v>21.768000000022152</v>
      </c>
      <c r="M520" s="300">
        <v>16.284999999999517</v>
      </c>
      <c r="N520" s="300">
        <v>43.515000001528719</v>
      </c>
      <c r="O520" s="300">
        <f t="shared" ref="O520:O521" si="1364">SUM(L520:N520)</f>
        <v>81.568000001550388</v>
      </c>
      <c r="P520" s="300"/>
      <c r="Q520" s="300">
        <v>21.207000000050744</v>
      </c>
      <c r="R520" s="300">
        <v>15.445999999977303</v>
      </c>
      <c r="S520" s="300">
        <v>38.525000003259784</v>
      </c>
      <c r="T520" s="300">
        <f t="shared" ref="T520:T521" si="1365">SUM(Q520:S520)</f>
        <v>75.178000003287821</v>
      </c>
      <c r="U520" s="300"/>
      <c r="V520" s="300">
        <v>22.422000000048811</v>
      </c>
      <c r="W520" s="300">
        <v>15.611999999988424</v>
      </c>
      <c r="X520" s="300">
        <v>37.245000002398925</v>
      </c>
      <c r="Y520" s="300">
        <f t="shared" ref="Y520:Y521" si="1366">SUM(V520:X520)</f>
        <v>75.279000002436163</v>
      </c>
    </row>
    <row r="521" spans="1:25" ht="12.45" x14ac:dyDescent="0.3">
      <c r="A521" s="260" t="s">
        <v>354</v>
      </c>
      <c r="B521" s="300">
        <f>SUM(B519:B520)</f>
        <v>46.275999999676557</v>
      </c>
      <c r="C521" s="300">
        <f t="shared" ref="C521" si="1367">SUM(C519:C520)</f>
        <v>30.62900000015587</v>
      </c>
      <c r="D521" s="300">
        <f t="shared" ref="D521" si="1368">SUM(D519:D520)</f>
        <v>73.911000001642108</v>
      </c>
      <c r="E521" s="300">
        <f t="shared" si="1362"/>
        <v>150.81600000147455</v>
      </c>
      <c r="F521" s="300"/>
      <c r="G521" s="300">
        <f>SUM(G519:G520)</f>
        <v>58.244999999615302</v>
      </c>
      <c r="H521" s="300">
        <f t="shared" ref="H521" si="1369">SUM(H519:H520)</f>
        <v>38.006000000208161</v>
      </c>
      <c r="I521" s="300">
        <f t="shared" ref="I521" si="1370">SUM(I519:I520)</f>
        <v>76.466000000343243</v>
      </c>
      <c r="J521" s="300">
        <f t="shared" si="1363"/>
        <v>172.71700000016671</v>
      </c>
      <c r="K521" s="300"/>
      <c r="L521" s="300">
        <f>SUM(L519:L520)</f>
        <v>51.200999999955869</v>
      </c>
      <c r="M521" s="300">
        <f t="shared" ref="M521" si="1371">SUM(M519:M520)</f>
        <v>39.565000000058802</v>
      </c>
      <c r="N521" s="300">
        <f t="shared" ref="N521" si="1372">SUM(N519:N520)</f>
        <v>93.007000000711912</v>
      </c>
      <c r="O521" s="300">
        <f t="shared" si="1364"/>
        <v>183.7730000007266</v>
      </c>
      <c r="P521" s="300"/>
      <c r="Q521" s="300">
        <f>SUM(Q519:Q520)</f>
        <v>48.782000000411273</v>
      </c>
      <c r="R521" s="300">
        <f t="shared" ref="R521" si="1373">SUM(R519:R520)</f>
        <v>38.805000000077456</v>
      </c>
      <c r="S521" s="300">
        <f t="shared" ref="S521" si="1374">SUM(S519:S520)</f>
        <v>87.237000003399658</v>
      </c>
      <c r="T521" s="300">
        <f t="shared" si="1365"/>
        <v>174.82400000388839</v>
      </c>
      <c r="U521" s="300"/>
      <c r="V521" s="300">
        <f>SUM(V519:V520)</f>
        <v>49.556000000153816</v>
      </c>
      <c r="W521" s="300">
        <f t="shared" ref="W521" si="1375">SUM(W519:W520)</f>
        <v>40.943999999896761</v>
      </c>
      <c r="X521" s="300">
        <f t="shared" ref="X521" si="1376">SUM(X519:X520)</f>
        <v>92.104000002783522</v>
      </c>
      <c r="Y521" s="300">
        <f t="shared" si="1366"/>
        <v>182.60400000283408</v>
      </c>
    </row>
    <row r="522" spans="1:25" ht="12.45" x14ac:dyDescent="0.3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ht="12.45" x14ac:dyDescent="0.3">
      <c r="A523" s="261" t="str">
        <f>name!A73</f>
        <v>Libraries, etc</v>
      </c>
      <c r="C523" s="263"/>
    </row>
    <row r="524" spans="1:25" ht="12.45" x14ac:dyDescent="0.3">
      <c r="A524" s="260" t="s">
        <v>356</v>
      </c>
      <c r="B524" s="300">
        <v>20.499999999795268</v>
      </c>
      <c r="C524" s="300">
        <v>30.068000000140639</v>
      </c>
      <c r="D524" s="300">
        <v>30.250000000203158</v>
      </c>
      <c r="E524" s="300">
        <f>SUM(B524:D524)</f>
        <v>80.818000000139065</v>
      </c>
      <c r="F524" s="300"/>
      <c r="G524" s="300">
        <v>20.26499999977964</v>
      </c>
      <c r="H524" s="300">
        <v>33.340000000203062</v>
      </c>
      <c r="I524" s="300">
        <v>30.725000000202783</v>
      </c>
      <c r="J524" s="300">
        <f>SUM(G524:I524)</f>
        <v>84.330000000185493</v>
      </c>
      <c r="K524" s="300"/>
      <c r="L524" s="300">
        <v>20.863999999940148</v>
      </c>
      <c r="M524" s="300">
        <v>32.259000000149186</v>
      </c>
      <c r="N524" s="300">
        <v>51.051999998907327</v>
      </c>
      <c r="O524" s="300">
        <f>SUM(L524:N524)</f>
        <v>104.17499999899667</v>
      </c>
      <c r="P524" s="300"/>
      <c r="Q524" s="300">
        <v>19.487000000253641</v>
      </c>
      <c r="R524" s="300">
        <v>31.114000000262678</v>
      </c>
      <c r="S524" s="300">
        <v>48.551999999955527</v>
      </c>
      <c r="T524" s="300">
        <f>SUM(Q524:S524)</f>
        <v>99.153000000471849</v>
      </c>
      <c r="U524" s="300"/>
      <c r="V524" s="300">
        <v>19.125000000070823</v>
      </c>
      <c r="W524" s="300">
        <v>33.491999999872334</v>
      </c>
      <c r="X524" s="300">
        <v>54.462000000460804</v>
      </c>
      <c r="Y524" s="300">
        <f>SUM(V524:X524)</f>
        <v>107.07900000040397</v>
      </c>
    </row>
    <row r="525" spans="1:25" ht="12.45" x14ac:dyDescent="0.3">
      <c r="A525" s="260" t="s">
        <v>355</v>
      </c>
      <c r="B525" s="300">
        <v>27.265999999898089</v>
      </c>
      <c r="C525" s="300">
        <v>9.7580000000729381</v>
      </c>
      <c r="D525" s="300">
        <v>43.350000001277166</v>
      </c>
      <c r="E525" s="300">
        <f t="shared" ref="E525:E526" si="1377">SUM(B525:D525)</f>
        <v>80.374000001248191</v>
      </c>
      <c r="F525" s="300"/>
      <c r="G525" s="300">
        <v>23.028999999949985</v>
      </c>
      <c r="H525" s="300">
        <v>11.601000000069444</v>
      </c>
      <c r="I525" s="300">
        <v>34.712000000148677</v>
      </c>
      <c r="J525" s="300">
        <f t="shared" ref="J525:J526" si="1378">SUM(G525:I525)</f>
        <v>69.342000000168099</v>
      </c>
      <c r="K525" s="300"/>
      <c r="L525" s="300">
        <v>17.355000000003592</v>
      </c>
      <c r="M525" s="300">
        <v>14.738000000021051</v>
      </c>
      <c r="N525" s="300">
        <v>30.919000001038224</v>
      </c>
      <c r="O525" s="300">
        <f t="shared" ref="O525:O526" si="1379">SUM(L525:N525)</f>
        <v>63.012000001062873</v>
      </c>
      <c r="P525" s="300"/>
      <c r="Q525" s="300">
        <v>16.857000000032119</v>
      </c>
      <c r="R525" s="300">
        <v>13.499999999996179</v>
      </c>
      <c r="S525" s="300">
        <v>27.49600000227155</v>
      </c>
      <c r="T525" s="300">
        <f t="shared" ref="T525:T526" si="1380">SUM(Q525:S525)</f>
        <v>57.853000002299851</v>
      </c>
      <c r="U525" s="300"/>
      <c r="V525" s="300">
        <v>17.869000000025871</v>
      </c>
      <c r="W525" s="300">
        <v>13.669000000013826</v>
      </c>
      <c r="X525" s="300">
        <v>26.670000001656085</v>
      </c>
      <c r="Y525" s="300">
        <f t="shared" ref="Y525:Y526" si="1381">SUM(V525:X525)</f>
        <v>58.20800000169578</v>
      </c>
    </row>
    <row r="526" spans="1:25" ht="12.45" x14ac:dyDescent="0.3">
      <c r="A526" s="260" t="s">
        <v>354</v>
      </c>
      <c r="B526" s="300">
        <f>SUM(B524:B525)</f>
        <v>47.765999999693356</v>
      </c>
      <c r="C526" s="300">
        <f t="shared" ref="C526" si="1382">SUM(C524:C525)</f>
        <v>39.826000000213575</v>
      </c>
      <c r="D526" s="300">
        <f t="shared" ref="D526" si="1383">SUM(D524:D525)</f>
        <v>73.600000001480325</v>
      </c>
      <c r="E526" s="300">
        <f t="shared" si="1377"/>
        <v>161.19200000138727</v>
      </c>
      <c r="F526" s="300"/>
      <c r="G526" s="300">
        <f>SUM(G524:G525)</f>
        <v>43.293999999729621</v>
      </c>
      <c r="H526" s="300">
        <f t="shared" ref="H526" si="1384">SUM(H524:H525)</f>
        <v>44.94100000027251</v>
      </c>
      <c r="I526" s="300">
        <f t="shared" ref="I526" si="1385">SUM(I524:I525)</f>
        <v>65.43700000035146</v>
      </c>
      <c r="J526" s="300">
        <f t="shared" si="1378"/>
        <v>153.67200000035359</v>
      </c>
      <c r="K526" s="300"/>
      <c r="L526" s="300">
        <f>SUM(L524:L525)</f>
        <v>38.21899999994374</v>
      </c>
      <c r="M526" s="300">
        <f t="shared" ref="M526" si="1386">SUM(M524:M525)</f>
        <v>46.997000000170239</v>
      </c>
      <c r="N526" s="300">
        <f t="shared" ref="N526" si="1387">SUM(N524:N525)</f>
        <v>81.970999999945548</v>
      </c>
      <c r="O526" s="300">
        <f t="shared" si="1379"/>
        <v>167.18700000005953</v>
      </c>
      <c r="P526" s="300"/>
      <c r="Q526" s="300">
        <f>SUM(Q524:Q525)</f>
        <v>36.34400000028576</v>
      </c>
      <c r="R526" s="300">
        <f t="shared" ref="R526" si="1388">SUM(R524:R525)</f>
        <v>44.614000000258855</v>
      </c>
      <c r="S526" s="300">
        <f t="shared" ref="S526" si="1389">SUM(S524:S525)</f>
        <v>76.04800000222707</v>
      </c>
      <c r="T526" s="300">
        <f t="shared" si="1380"/>
        <v>157.00600000277169</v>
      </c>
      <c r="U526" s="300"/>
      <c r="V526" s="300">
        <f>SUM(V524:V525)</f>
        <v>36.99400000009669</v>
      </c>
      <c r="W526" s="300">
        <f t="shared" ref="W526" si="1390">SUM(W524:W525)</f>
        <v>47.160999999886158</v>
      </c>
      <c r="X526" s="300">
        <f t="shared" ref="X526" si="1391">SUM(X524:X525)</f>
        <v>81.132000002116882</v>
      </c>
      <c r="Y526" s="300">
        <f t="shared" si="1381"/>
        <v>165.28700000209972</v>
      </c>
    </row>
    <row r="527" spans="1:25" ht="12.45" x14ac:dyDescent="0.3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ht="12.45" x14ac:dyDescent="0.3">
      <c r="A528" s="261" t="str">
        <f>name!A74</f>
        <v>Gambling and betting</v>
      </c>
      <c r="C528" s="263"/>
    </row>
    <row r="529" spans="1:25" ht="12.45" x14ac:dyDescent="0.3">
      <c r="A529" s="260" t="s">
        <v>356</v>
      </c>
      <c r="B529" s="300">
        <v>13.168999999862059</v>
      </c>
      <c r="C529" s="300">
        <v>13.395000000069139</v>
      </c>
      <c r="D529" s="300">
        <v>6.367000000041303</v>
      </c>
      <c r="E529" s="300">
        <f>SUM(B529:D529)</f>
        <v>32.930999999972499</v>
      </c>
      <c r="F529" s="300"/>
      <c r="G529" s="300">
        <v>12.252999999887352</v>
      </c>
      <c r="H529" s="300">
        <v>12.883000000065243</v>
      </c>
      <c r="I529" s="300">
        <v>4.9840000000375984</v>
      </c>
      <c r="J529" s="300">
        <f>SUM(G529:I529)</f>
        <v>30.119999999990192</v>
      </c>
      <c r="K529" s="300"/>
      <c r="L529" s="300">
        <v>10.750999999946043</v>
      </c>
      <c r="M529" s="300">
        <v>12.781000000056135</v>
      </c>
      <c r="N529" s="300">
        <v>4.8839999998892987</v>
      </c>
      <c r="O529" s="300">
        <f>SUM(L529:N529)</f>
        <v>28.415999999891476</v>
      </c>
      <c r="P529" s="300"/>
      <c r="Q529" s="300">
        <v>11.053000000159894</v>
      </c>
      <c r="R529" s="300">
        <v>13.526000000107462</v>
      </c>
      <c r="S529" s="300">
        <v>5.2909999999787871</v>
      </c>
      <c r="T529" s="300">
        <f>SUM(Q529:S529)</f>
        <v>29.870000000246144</v>
      </c>
      <c r="U529" s="300"/>
      <c r="V529" s="300">
        <v>11.317000000044343</v>
      </c>
      <c r="W529" s="300">
        <v>14.471999999944666</v>
      </c>
      <c r="X529" s="300">
        <v>5.7220000000408957</v>
      </c>
      <c r="Y529" s="300">
        <f>SUM(V529:X529)</f>
        <v>31.511000000029906</v>
      </c>
    </row>
    <row r="530" spans="1:25" ht="12.45" x14ac:dyDescent="0.3">
      <c r="A530" s="260" t="s">
        <v>355</v>
      </c>
      <c r="B530" s="300">
        <v>36.151999999858305</v>
      </c>
      <c r="C530" s="300">
        <v>20.311000000153353</v>
      </c>
      <c r="D530" s="300">
        <v>6.7470000001962536</v>
      </c>
      <c r="E530" s="300">
        <f t="shared" ref="E530:E531" si="1392">SUM(B530:D530)</f>
        <v>63.210000000207913</v>
      </c>
      <c r="F530" s="300"/>
      <c r="G530" s="300">
        <v>32.745999999957156</v>
      </c>
      <c r="H530" s="300">
        <v>18.82600000011384</v>
      </c>
      <c r="I530" s="300">
        <v>6.6240000000323169</v>
      </c>
      <c r="J530" s="300">
        <f t="shared" ref="J530:J531" si="1393">SUM(G530:I530)</f>
        <v>58.196000000103318</v>
      </c>
      <c r="K530" s="300"/>
      <c r="L530" s="300">
        <v>31.202000000010504</v>
      </c>
      <c r="M530" s="300">
        <v>18.496000000016103</v>
      </c>
      <c r="N530" s="300">
        <v>6.5650000002377746</v>
      </c>
      <c r="O530" s="300">
        <f t="shared" ref="O530:O531" si="1394">SUM(L530:N530)</f>
        <v>56.263000000264384</v>
      </c>
      <c r="P530" s="300"/>
      <c r="Q530" s="300">
        <v>33.430000000070287</v>
      </c>
      <c r="R530" s="300">
        <v>20.418999999994416</v>
      </c>
      <c r="S530" s="300">
        <v>7.6430000006477012</v>
      </c>
      <c r="T530" s="300">
        <f t="shared" ref="T530:T531" si="1395">SUM(Q530:S530)</f>
        <v>61.492000000712409</v>
      </c>
      <c r="U530" s="300"/>
      <c r="V530" s="300">
        <v>36.625000000048885</v>
      </c>
      <c r="W530" s="300">
        <v>23.395000000016243</v>
      </c>
      <c r="X530" s="300">
        <v>9.4990000006062161</v>
      </c>
      <c r="Y530" s="300">
        <f t="shared" ref="Y530:Y531" si="1396">SUM(V530:X530)</f>
        <v>69.51900000067134</v>
      </c>
    </row>
    <row r="531" spans="1:25" ht="12.45" x14ac:dyDescent="0.3">
      <c r="A531" s="260" t="s">
        <v>354</v>
      </c>
      <c r="B531" s="300">
        <f>SUM(B529:B530)</f>
        <v>49.320999999720364</v>
      </c>
      <c r="C531" s="300">
        <f t="shared" ref="C531" si="1397">SUM(C529:C530)</f>
        <v>33.706000000222488</v>
      </c>
      <c r="D531" s="300">
        <f t="shared" ref="D531" si="1398">SUM(D529:D530)</f>
        <v>13.114000000237557</v>
      </c>
      <c r="E531" s="300">
        <f t="shared" si="1392"/>
        <v>96.141000000180412</v>
      </c>
      <c r="F531" s="300"/>
      <c r="G531" s="300">
        <f>SUM(G529:G530)</f>
        <v>44.998999999844507</v>
      </c>
      <c r="H531" s="300">
        <f t="shared" ref="H531" si="1399">SUM(H529:H530)</f>
        <v>31.709000000179081</v>
      </c>
      <c r="I531" s="300">
        <f t="shared" ref="I531" si="1400">SUM(I529:I530)</f>
        <v>11.608000000069914</v>
      </c>
      <c r="J531" s="300">
        <f t="shared" si="1393"/>
        <v>88.31600000009351</v>
      </c>
      <c r="K531" s="300"/>
      <c r="L531" s="300">
        <f>SUM(L529:L530)</f>
        <v>41.952999999956546</v>
      </c>
      <c r="M531" s="300">
        <f t="shared" ref="M531" si="1401">SUM(M529:M530)</f>
        <v>31.277000000072238</v>
      </c>
      <c r="N531" s="300">
        <f t="shared" ref="N531" si="1402">SUM(N529:N530)</f>
        <v>11.449000000127073</v>
      </c>
      <c r="O531" s="300">
        <f t="shared" si="1394"/>
        <v>84.679000000155852</v>
      </c>
      <c r="P531" s="300"/>
      <c r="Q531" s="300">
        <f>SUM(Q529:Q530)</f>
        <v>44.483000000230177</v>
      </c>
      <c r="R531" s="300">
        <f t="shared" ref="R531" si="1403">SUM(R529:R530)</f>
        <v>33.945000000101878</v>
      </c>
      <c r="S531" s="300">
        <f t="shared" ref="S531" si="1404">SUM(S529:S530)</f>
        <v>12.934000000626488</v>
      </c>
      <c r="T531" s="300">
        <f t="shared" si="1395"/>
        <v>91.362000000958531</v>
      </c>
      <c r="U531" s="300"/>
      <c r="V531" s="300">
        <f>SUM(V529:V530)</f>
        <v>47.94200000009323</v>
      </c>
      <c r="W531" s="300">
        <f t="shared" ref="W531" si="1405">SUM(W529:W530)</f>
        <v>37.86699999996091</v>
      </c>
      <c r="X531" s="300">
        <f t="shared" ref="X531" si="1406">SUM(X529:X530)</f>
        <v>15.221000000647113</v>
      </c>
      <c r="Y531" s="300">
        <f t="shared" si="1396"/>
        <v>101.03000000070125</v>
      </c>
    </row>
    <row r="532" spans="1:25" ht="12.45" x14ac:dyDescent="0.3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ht="12.45" x14ac:dyDescent="0.3">
      <c r="A533" s="261" t="str">
        <f>name!A75</f>
        <v>Sport and recreation</v>
      </c>
      <c r="C533" s="263"/>
    </row>
    <row r="534" spans="1:25" ht="12.45" x14ac:dyDescent="0.3">
      <c r="A534" s="260" t="s">
        <v>356</v>
      </c>
      <c r="B534" s="300">
        <v>64.718999999372585</v>
      </c>
      <c r="C534" s="300">
        <v>124.67900000067449</v>
      </c>
      <c r="D534" s="300">
        <v>30.342000000313853</v>
      </c>
      <c r="E534" s="300">
        <f>SUM(B534:D534)</f>
        <v>219.74000000036094</v>
      </c>
      <c r="F534" s="300"/>
      <c r="G534" s="300">
        <v>74.426999999165204</v>
      </c>
      <c r="H534" s="300">
        <v>125.58400000088736</v>
      </c>
      <c r="I534" s="300">
        <v>27.100000000051711</v>
      </c>
      <c r="J534" s="300">
        <f>SUM(G534:I534)</f>
        <v>227.11100000010427</v>
      </c>
      <c r="K534" s="300"/>
      <c r="L534" s="300">
        <v>64.261999999626312</v>
      </c>
      <c r="M534" s="300">
        <v>123.40900000068723</v>
      </c>
      <c r="N534" s="300">
        <v>28.230999999232967</v>
      </c>
      <c r="O534" s="300">
        <f>SUM(L534:N534)</f>
        <v>215.90199999954652</v>
      </c>
      <c r="P534" s="300"/>
      <c r="Q534" s="300">
        <v>66.656000000765715</v>
      </c>
      <c r="R534" s="300">
        <v>131.27800000138356</v>
      </c>
      <c r="S534" s="300">
        <v>30.569999999577046</v>
      </c>
      <c r="T534" s="300">
        <f>SUM(Q534:S534)</f>
        <v>228.50400000172633</v>
      </c>
      <c r="U534" s="300"/>
      <c r="V534" s="300">
        <v>68.347000000247036</v>
      </c>
      <c r="W534" s="300">
        <v>140.62999999948497</v>
      </c>
      <c r="X534" s="300">
        <v>33.043000000212643</v>
      </c>
      <c r="Y534" s="300">
        <f>SUM(V534:X534)</f>
        <v>242.01999999994467</v>
      </c>
    </row>
    <row r="535" spans="1:25" ht="12.45" x14ac:dyDescent="0.3">
      <c r="A535" s="260" t="s">
        <v>355</v>
      </c>
      <c r="B535" s="300">
        <v>83.663999999740199</v>
      </c>
      <c r="C535" s="300">
        <v>84.382000000575687</v>
      </c>
      <c r="D535" s="300">
        <v>39.752000001175631</v>
      </c>
      <c r="E535" s="300">
        <f t="shared" ref="E535:E536" si="1407">SUM(B535:D535)</f>
        <v>207.79800000149152</v>
      </c>
      <c r="F535" s="300"/>
      <c r="G535" s="300">
        <v>93.226999999841311</v>
      </c>
      <c r="H535" s="300">
        <v>84.511000000503117</v>
      </c>
      <c r="I535" s="300">
        <v>43.158000000163263</v>
      </c>
      <c r="J535" s="300">
        <f t="shared" ref="J535:J536" si="1408">SUM(G535:I535)</f>
        <v>220.89600000050768</v>
      </c>
      <c r="K535" s="300"/>
      <c r="L535" s="300">
        <v>90.364999999897137</v>
      </c>
      <c r="M535" s="300">
        <v>81.86700000020798</v>
      </c>
      <c r="N535" s="300">
        <v>40.965000001249109</v>
      </c>
      <c r="O535" s="300">
        <f t="shared" ref="O535:O536" si="1409">SUM(L535:N535)</f>
        <v>213.19700000135424</v>
      </c>
      <c r="P535" s="300"/>
      <c r="Q535" s="300">
        <v>96.539000000046968</v>
      </c>
      <c r="R535" s="300">
        <v>89.974000000185924</v>
      </c>
      <c r="S535" s="300">
        <v>47.400000003616519</v>
      </c>
      <c r="T535" s="300">
        <f t="shared" ref="T535:T536" si="1410">SUM(Q535:S535)</f>
        <v>233.91300000384942</v>
      </c>
      <c r="U535" s="300"/>
      <c r="V535" s="300">
        <v>105.26299999986679</v>
      </c>
      <c r="W535" s="300">
        <v>102.78500000041471</v>
      </c>
      <c r="X535" s="300">
        <v>58.586000003305564</v>
      </c>
      <c r="Y535" s="300">
        <f t="shared" ref="Y535:Y536" si="1411">SUM(V535:X535)</f>
        <v>266.63400000358706</v>
      </c>
    </row>
    <row r="536" spans="1:25" ht="12.45" x14ac:dyDescent="0.3">
      <c r="A536" s="260" t="s">
        <v>354</v>
      </c>
      <c r="B536" s="300">
        <f>SUM(B534:B535)</f>
        <v>148.38299999911277</v>
      </c>
      <c r="C536" s="300">
        <f t="shared" ref="C536" si="1412">SUM(C534:C535)</f>
        <v>209.06100000125019</v>
      </c>
      <c r="D536" s="300">
        <f t="shared" ref="D536" si="1413">SUM(D534:D535)</f>
        <v>70.094000001489491</v>
      </c>
      <c r="E536" s="300">
        <f t="shared" si="1407"/>
        <v>427.53800000185242</v>
      </c>
      <c r="F536" s="300"/>
      <c r="G536" s="300">
        <f>SUM(G534:G535)</f>
        <v>167.65399999900652</v>
      </c>
      <c r="H536" s="300">
        <f t="shared" ref="H536" si="1414">SUM(H534:H535)</f>
        <v>210.09500000139047</v>
      </c>
      <c r="I536" s="300">
        <f t="shared" ref="I536" si="1415">SUM(I534:I535)</f>
        <v>70.258000000214977</v>
      </c>
      <c r="J536" s="300">
        <f t="shared" si="1408"/>
        <v>448.00700000061198</v>
      </c>
      <c r="K536" s="300"/>
      <c r="L536" s="300">
        <f>SUM(L534:L535)</f>
        <v>154.62699999952343</v>
      </c>
      <c r="M536" s="300">
        <f t="shared" ref="M536" si="1416">SUM(M534:M535)</f>
        <v>205.27600000089521</v>
      </c>
      <c r="N536" s="300">
        <f t="shared" ref="N536" si="1417">SUM(N534:N535)</f>
        <v>69.196000000482073</v>
      </c>
      <c r="O536" s="300">
        <f t="shared" si="1409"/>
        <v>429.09900000090067</v>
      </c>
      <c r="P536" s="300"/>
      <c r="Q536" s="300">
        <f>SUM(Q534:Q535)</f>
        <v>163.19500000081268</v>
      </c>
      <c r="R536" s="300">
        <f t="shared" ref="R536" si="1418">SUM(R534:R535)</f>
        <v>221.25200000156948</v>
      </c>
      <c r="S536" s="300">
        <f t="shared" ref="S536" si="1419">SUM(S534:S535)</f>
        <v>77.970000003193562</v>
      </c>
      <c r="T536" s="300">
        <f t="shared" si="1410"/>
        <v>462.41700000557574</v>
      </c>
      <c r="U536" s="300"/>
      <c r="V536" s="300">
        <f>SUM(V534:V535)</f>
        <v>173.61000000011381</v>
      </c>
      <c r="W536" s="300">
        <f t="shared" ref="W536" si="1420">SUM(W534:W535)</f>
        <v>243.41499999989969</v>
      </c>
      <c r="X536" s="300">
        <f t="shared" ref="X536" si="1421">SUM(X534:X535)</f>
        <v>91.6290000035182</v>
      </c>
      <c r="Y536" s="300">
        <f t="shared" si="1411"/>
        <v>508.65400000353168</v>
      </c>
    </row>
    <row r="537" spans="1:25" x14ac:dyDescent="0.35">
      <c r="A537" s="261"/>
    </row>
    <row r="538" spans="1:25" x14ac:dyDescent="0.35">
      <c r="A538" s="261" t="s">
        <v>358</v>
      </c>
    </row>
    <row r="539" spans="1:25" ht="12.45" x14ac:dyDescent="0.3">
      <c r="A539" s="260" t="s">
        <v>356</v>
      </c>
      <c r="B539" s="300">
        <f>SUM(B519,B524,B529,B534)</f>
        <v>120.40499999881862</v>
      </c>
      <c r="C539" s="300">
        <f t="shared" ref="C539:D540" si="1422">SUM(C519,C524,C529,C534)</f>
        <v>188.84000000095256</v>
      </c>
      <c r="D539" s="300">
        <f t="shared" si="1422"/>
        <v>90.208000000723715</v>
      </c>
      <c r="E539" s="300">
        <f>SUM(B539:D539)</f>
        <v>399.45300000049485</v>
      </c>
      <c r="F539" s="300"/>
      <c r="G539" s="300">
        <f>SUM(G519,G524,G529,G534)</f>
        <v>136.44599999850499</v>
      </c>
      <c r="H539" s="300">
        <f t="shared" ref="H539:I539" si="1423">SUM(H519,H524,H529,H534)</f>
        <v>196.38900000127521</v>
      </c>
      <c r="I539" s="300">
        <f t="shared" si="1423"/>
        <v>91.189000000446384</v>
      </c>
      <c r="J539" s="300">
        <f>SUM(G539:I539)</f>
        <v>424.02400000022658</v>
      </c>
      <c r="K539" s="300"/>
      <c r="L539" s="300">
        <f>SUM(L519,L524,L529,L534)</f>
        <v>125.30999999944622</v>
      </c>
      <c r="M539" s="300">
        <f t="shared" ref="M539:N539" si="1424">SUM(M519,M524,M529,M534)</f>
        <v>191.72900000095183</v>
      </c>
      <c r="N539" s="300">
        <f t="shared" si="1424"/>
        <v>133.65899999721279</v>
      </c>
      <c r="O539" s="300">
        <f>SUM(L539:N539)</f>
        <v>450.69799999761085</v>
      </c>
      <c r="P539" s="300"/>
      <c r="Q539" s="300">
        <f>SUM(Q519,Q524,Q529,Q534)</f>
        <v>124.77100000153979</v>
      </c>
      <c r="R539" s="300">
        <f t="shared" ref="R539:S539" si="1425">SUM(R519,R524,R529,R534)</f>
        <v>199.27700000185385</v>
      </c>
      <c r="S539" s="300">
        <f t="shared" si="1425"/>
        <v>133.12499999965124</v>
      </c>
      <c r="T539" s="300">
        <f>SUM(Q539:S539)</f>
        <v>457.17300000304488</v>
      </c>
      <c r="U539" s="300"/>
      <c r="V539" s="300">
        <f>SUM(V519,V524,V529,V534)</f>
        <v>125.92300000046721</v>
      </c>
      <c r="W539" s="300">
        <f t="shared" ref="W539:X539" si="1426">SUM(W519,W524,W529,W534)</f>
        <v>213.92599999921032</v>
      </c>
      <c r="X539" s="300">
        <f t="shared" si="1426"/>
        <v>148.08600000109894</v>
      </c>
      <c r="Y539" s="300">
        <f>SUM(V539:X539)</f>
        <v>487.93500000077643</v>
      </c>
    </row>
    <row r="540" spans="1:25" ht="12.45" x14ac:dyDescent="0.3">
      <c r="A540" s="260" t="s">
        <v>355</v>
      </c>
      <c r="B540" s="300">
        <f>SUM(B520,B525,B530,B535)</f>
        <v>171.34099999938445</v>
      </c>
      <c r="C540" s="300">
        <f t="shared" si="1422"/>
        <v>124.38200000088953</v>
      </c>
      <c r="D540" s="300">
        <f t="shared" si="1422"/>
        <v>140.51100000412575</v>
      </c>
      <c r="E540" s="300">
        <f t="shared" ref="E540:E541" si="1427">SUM(B540:D540)</f>
        <v>436.23400000439972</v>
      </c>
      <c r="F540" s="300"/>
      <c r="G540" s="300">
        <f>SUM(G520,G525,G530,G535)</f>
        <v>177.74599999969098</v>
      </c>
      <c r="H540" s="300">
        <f t="shared" ref="H540:I540" si="1428">SUM(H520,H525,H530,H535)</f>
        <v>128.36200000077503</v>
      </c>
      <c r="I540" s="300">
        <f t="shared" si="1428"/>
        <v>132.5800000005332</v>
      </c>
      <c r="J540" s="300">
        <f t="shared" ref="J540:J541" si="1429">SUM(G540:I540)</f>
        <v>438.68800000099918</v>
      </c>
      <c r="K540" s="300"/>
      <c r="L540" s="300">
        <f>SUM(L520,L525,L530,L535)</f>
        <v>160.68999999993338</v>
      </c>
      <c r="M540" s="300">
        <f t="shared" ref="M540:N540" si="1430">SUM(M520,M525,M530,M535)</f>
        <v>131.38600000024465</v>
      </c>
      <c r="N540" s="300">
        <f t="shared" si="1430"/>
        <v>121.96400000405383</v>
      </c>
      <c r="O540" s="300">
        <f t="shared" ref="O540:O541" si="1431">SUM(L540:N540)</f>
        <v>414.0400000042319</v>
      </c>
      <c r="P540" s="300"/>
      <c r="Q540" s="300">
        <f>SUM(Q520,Q525,Q530,Q535)</f>
        <v>168.0330000002001</v>
      </c>
      <c r="R540" s="300">
        <f t="shared" ref="R540:S540" si="1432">SUM(R520,R525,R530,R535)</f>
        <v>139.33900000015382</v>
      </c>
      <c r="S540" s="300">
        <f t="shared" si="1432"/>
        <v>121.06400000979556</v>
      </c>
      <c r="T540" s="300">
        <f t="shared" ref="T540:T541" si="1433">SUM(Q540:S540)</f>
        <v>428.43600001014948</v>
      </c>
      <c r="U540" s="300"/>
      <c r="V540" s="300">
        <f>SUM(V520,V525,V530,V535)</f>
        <v>182.17899999999037</v>
      </c>
      <c r="W540" s="300">
        <f t="shared" ref="W540:X540" si="1434">SUM(W520,W525,W530,W535)</f>
        <v>155.46100000043322</v>
      </c>
      <c r="X540" s="300">
        <f t="shared" si="1434"/>
        <v>132.0000000079668</v>
      </c>
      <c r="Y540" s="300">
        <f t="shared" ref="Y540:Y541" si="1435">SUM(V540:X540)</f>
        <v>469.64000000839042</v>
      </c>
    </row>
    <row r="541" spans="1:25" ht="12.45" x14ac:dyDescent="0.3">
      <c r="A541" s="264" t="s">
        <v>354</v>
      </c>
      <c r="B541" s="301">
        <f>SUM(B539:B540)</f>
        <v>291.74599999820305</v>
      </c>
      <c r="C541" s="301">
        <f t="shared" ref="C541" si="1436">SUM(C539:C540)</f>
        <v>313.2220000018421</v>
      </c>
      <c r="D541" s="301">
        <f t="shared" ref="D541" si="1437">SUM(D539:D540)</f>
        <v>230.71900000484948</v>
      </c>
      <c r="E541" s="301">
        <f t="shared" si="1427"/>
        <v>835.68700000489457</v>
      </c>
      <c r="F541" s="301"/>
      <c r="G541" s="301">
        <f>SUM(G539:G540)</f>
        <v>314.19199999819597</v>
      </c>
      <c r="H541" s="301">
        <f t="shared" ref="H541" si="1438">SUM(H539:H540)</f>
        <v>324.7510000020502</v>
      </c>
      <c r="I541" s="301">
        <f t="shared" ref="I541" si="1439">SUM(I539:I540)</f>
        <v>223.76900000097959</v>
      </c>
      <c r="J541" s="301">
        <f t="shared" si="1429"/>
        <v>862.71200000122576</v>
      </c>
      <c r="K541" s="301"/>
      <c r="L541" s="301">
        <f>SUM(L539:L540)</f>
        <v>285.99999999937961</v>
      </c>
      <c r="M541" s="301">
        <f t="shared" ref="M541" si="1440">SUM(M539:M540)</f>
        <v>323.11500000119645</v>
      </c>
      <c r="N541" s="301">
        <f t="shared" ref="N541" si="1441">SUM(N539:N540)</f>
        <v>255.62300000126663</v>
      </c>
      <c r="O541" s="301">
        <f t="shared" si="1431"/>
        <v>864.73800000184269</v>
      </c>
      <c r="P541" s="301"/>
      <c r="Q541" s="301">
        <f>SUM(Q539:Q540)</f>
        <v>292.80400000173989</v>
      </c>
      <c r="R541" s="301">
        <f t="shared" ref="R541" si="1442">SUM(R539:R540)</f>
        <v>338.6160000020077</v>
      </c>
      <c r="S541" s="301">
        <f t="shared" ref="S541" si="1443">SUM(S539:S540)</f>
        <v>254.1890000094468</v>
      </c>
      <c r="T541" s="301">
        <f t="shared" si="1433"/>
        <v>885.60900001319442</v>
      </c>
      <c r="U541" s="301"/>
      <c r="V541" s="301">
        <f>SUM(V539:V540)</f>
        <v>308.10200000045756</v>
      </c>
      <c r="W541" s="301">
        <f t="shared" ref="W541" si="1444">SUM(W539:W540)</f>
        <v>369.38699999964354</v>
      </c>
      <c r="X541" s="301">
        <f t="shared" ref="X541" si="1445">SUM(X539:X540)</f>
        <v>280.08600000906574</v>
      </c>
      <c r="Y541" s="301">
        <f t="shared" si="1435"/>
        <v>957.57500000916684</v>
      </c>
    </row>
    <row r="545" spans="1:25" ht="14.15" x14ac:dyDescent="0.35">
      <c r="A545" s="265" t="str">
        <f>"Industry 22 : "&amp; name!B25</f>
        <v>Industry 22 : Other services</v>
      </c>
      <c r="B545" s="372">
        <f>$B$5</f>
        <v>2015</v>
      </c>
      <c r="C545" s="372"/>
      <c r="D545" s="372"/>
      <c r="E545" s="372"/>
      <c r="F545" s="320"/>
      <c r="G545" s="372">
        <f>$G$5</f>
        <v>2019</v>
      </c>
      <c r="H545" s="372"/>
      <c r="I545" s="372"/>
      <c r="J545" s="372"/>
      <c r="K545" s="320"/>
      <c r="L545" s="372">
        <f>$L$5</f>
        <v>2020</v>
      </c>
      <c r="M545" s="372"/>
      <c r="N545" s="372"/>
      <c r="O545" s="372"/>
      <c r="P545" s="318"/>
      <c r="Q545" s="372">
        <f>$Q$5</f>
        <v>2025</v>
      </c>
      <c r="R545" s="372"/>
      <c r="S545" s="372"/>
      <c r="T545" s="372"/>
      <c r="U545" s="320"/>
      <c r="V545" s="372">
        <f>$V$5</f>
        <v>2035</v>
      </c>
      <c r="W545" s="372"/>
      <c r="X545" s="372"/>
      <c r="Y545" s="372"/>
    </row>
    <row r="546" spans="1:25" ht="12.45" x14ac:dyDescent="0.3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ht="12.45" x14ac:dyDescent="0.3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ht="12.45" x14ac:dyDescent="0.3">
      <c r="A548" s="261" t="str">
        <f>name!A76</f>
        <v>Membership organisations</v>
      </c>
      <c r="C548" s="263"/>
    </row>
    <row r="549" spans="1:25" ht="12.45" x14ac:dyDescent="0.3">
      <c r="A549" s="260" t="s">
        <v>356</v>
      </c>
      <c r="B549" s="300">
        <v>93.352999998822071</v>
      </c>
      <c r="C549" s="300">
        <v>86.768999999867518</v>
      </c>
      <c r="D549" s="300">
        <v>66.449000000050901</v>
      </c>
      <c r="E549" s="300">
        <f>SUM(B549:D549)</f>
        <v>246.57099999874049</v>
      </c>
      <c r="F549" s="300"/>
      <c r="G549" s="300">
        <v>96.587999998914242</v>
      </c>
      <c r="H549" s="300">
        <v>75.821000000036051</v>
      </c>
      <c r="I549" s="300">
        <v>81.998000000110395</v>
      </c>
      <c r="J549" s="300">
        <f>SUM(G549:I549)</f>
        <v>254.4069999990607</v>
      </c>
      <c r="K549" s="300"/>
      <c r="L549" s="300">
        <v>95.642999999511957</v>
      </c>
      <c r="M549" s="300">
        <v>75.567999999997213</v>
      </c>
      <c r="N549" s="300">
        <v>79.499999998674241</v>
      </c>
      <c r="O549" s="300">
        <f>SUM(L549:N549)</f>
        <v>250.71099999818341</v>
      </c>
      <c r="P549" s="300"/>
      <c r="Q549" s="300">
        <v>93.913000001092229</v>
      </c>
      <c r="R549" s="300">
        <v>73.693000000041181</v>
      </c>
      <c r="S549" s="300">
        <v>77.812999999652547</v>
      </c>
      <c r="T549" s="300">
        <f>SUM(Q549:S549)</f>
        <v>245.41900000078596</v>
      </c>
      <c r="U549" s="300"/>
      <c r="V549" s="300">
        <v>91.67100000031067</v>
      </c>
      <c r="W549" s="300">
        <v>72.199999999896079</v>
      </c>
      <c r="X549" s="300">
        <v>77.062000001647561</v>
      </c>
      <c r="Y549" s="300">
        <f>SUM(V549:X549)</f>
        <v>240.93300000185431</v>
      </c>
    </row>
    <row r="550" spans="1:25" ht="12.45" x14ac:dyDescent="0.3">
      <c r="A550" s="260" t="s">
        <v>355</v>
      </c>
      <c r="B550" s="300">
        <v>63.141999998564259</v>
      </c>
      <c r="C550" s="300">
        <v>19.885999999937425</v>
      </c>
      <c r="D550" s="300">
        <v>34.11000000054679</v>
      </c>
      <c r="E550" s="300">
        <f t="shared" ref="E550:E551" si="1446">SUM(B550:D550)</f>
        <v>117.13799999904847</v>
      </c>
      <c r="F550" s="300"/>
      <c r="G550" s="300">
        <v>53.620999999302974</v>
      </c>
      <c r="H550" s="300">
        <v>21.15599999993038</v>
      </c>
      <c r="I550" s="300">
        <v>31.6109999997819</v>
      </c>
      <c r="J550" s="300">
        <f t="shared" ref="J550:J551" si="1447">SUM(G550:I550)</f>
        <v>106.38799999901525</v>
      </c>
      <c r="K550" s="300"/>
      <c r="L550" s="300">
        <v>51.764999999859157</v>
      </c>
      <c r="M550" s="300">
        <v>22.330000000093936</v>
      </c>
      <c r="N550" s="300">
        <v>16.692000000411777</v>
      </c>
      <c r="O550" s="300">
        <f t="shared" ref="O550:O551" si="1448">SUM(L550:N550)</f>
        <v>90.78700000036487</v>
      </c>
      <c r="P550" s="300"/>
      <c r="Q550" s="300">
        <v>54.031000000248426</v>
      </c>
      <c r="R550" s="300">
        <v>22.646000000014251</v>
      </c>
      <c r="S550" s="300">
        <v>17.597000001193727</v>
      </c>
      <c r="T550" s="300">
        <f t="shared" ref="T550:T551" si="1449">SUM(Q550:S550)</f>
        <v>94.274000001456415</v>
      </c>
      <c r="U550" s="300"/>
      <c r="V550" s="300">
        <v>57.840000000077232</v>
      </c>
      <c r="W550" s="300">
        <v>23.283999999979429</v>
      </c>
      <c r="X550" s="300">
        <v>19.421000000907366</v>
      </c>
      <c r="Y550" s="300">
        <f t="shared" ref="Y550:Y551" si="1450">SUM(V550:X550)</f>
        <v>100.54500000096404</v>
      </c>
    </row>
    <row r="551" spans="1:25" ht="12.45" x14ac:dyDescent="0.3">
      <c r="A551" s="260" t="s">
        <v>354</v>
      </c>
      <c r="B551" s="300">
        <f>SUM(B549:B550)</f>
        <v>156.49499999738634</v>
      </c>
      <c r="C551" s="300">
        <f t="shared" ref="C551" si="1451">SUM(C549:C550)</f>
        <v>106.65499999980494</v>
      </c>
      <c r="D551" s="300">
        <f t="shared" ref="D551" si="1452">SUM(D549:D550)</f>
        <v>100.55900000059769</v>
      </c>
      <c r="E551" s="300">
        <f t="shared" si="1446"/>
        <v>363.70899999778896</v>
      </c>
      <c r="F551" s="300"/>
      <c r="G551" s="300">
        <f>SUM(G549:G550)</f>
        <v>150.20899999821722</v>
      </c>
      <c r="H551" s="300">
        <f t="shared" ref="H551" si="1453">SUM(H549:H550)</f>
        <v>96.976999999966438</v>
      </c>
      <c r="I551" s="300">
        <f t="shared" ref="I551" si="1454">SUM(I549:I550)</f>
        <v>113.60899999989229</v>
      </c>
      <c r="J551" s="300">
        <f t="shared" si="1447"/>
        <v>360.79499999807592</v>
      </c>
      <c r="K551" s="300"/>
      <c r="L551" s="300">
        <f>SUM(L549:L550)</f>
        <v>147.4079999993711</v>
      </c>
      <c r="M551" s="300">
        <f t="shared" ref="M551" si="1455">SUM(M549:M550)</f>
        <v>97.898000000091145</v>
      </c>
      <c r="N551" s="300">
        <f t="shared" ref="N551" si="1456">SUM(N549:N550)</f>
        <v>96.191999999086022</v>
      </c>
      <c r="O551" s="300">
        <f t="shared" si="1448"/>
        <v>341.49799999854827</v>
      </c>
      <c r="P551" s="300"/>
      <c r="Q551" s="300">
        <f>SUM(Q549:Q550)</f>
        <v>147.94400000134067</v>
      </c>
      <c r="R551" s="300">
        <f t="shared" ref="R551" si="1457">SUM(R549:R550)</f>
        <v>96.339000000055435</v>
      </c>
      <c r="S551" s="300">
        <f t="shared" ref="S551" si="1458">SUM(S549:S550)</f>
        <v>95.410000000846281</v>
      </c>
      <c r="T551" s="300">
        <f t="shared" si="1449"/>
        <v>339.69300000224234</v>
      </c>
      <c r="U551" s="300"/>
      <c r="V551" s="300">
        <f>SUM(V549:V550)</f>
        <v>149.5110000003879</v>
      </c>
      <c r="W551" s="300">
        <f t="shared" ref="W551" si="1459">SUM(W549:W550)</f>
        <v>95.483999999875508</v>
      </c>
      <c r="X551" s="300">
        <f t="shared" ref="X551" si="1460">SUM(X549:X550)</f>
        <v>96.483000002554931</v>
      </c>
      <c r="Y551" s="300">
        <f t="shared" si="1450"/>
        <v>341.47800000281836</v>
      </c>
    </row>
    <row r="552" spans="1:25" ht="12.45" x14ac:dyDescent="0.3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ht="12.45" x14ac:dyDescent="0.3">
      <c r="A553" s="261" t="str">
        <f>name!A77</f>
        <v>Repair of goods</v>
      </c>
      <c r="C553" s="263"/>
    </row>
    <row r="554" spans="1:25" ht="12.45" x14ac:dyDescent="0.3">
      <c r="A554" s="260" t="s">
        <v>356</v>
      </c>
      <c r="B554" s="300">
        <v>5.9189999999246572</v>
      </c>
      <c r="C554" s="300">
        <v>4.1470000002034473</v>
      </c>
      <c r="D554" s="300">
        <v>9.0970000001059894</v>
      </c>
      <c r="E554" s="300">
        <f>SUM(B554:D554)</f>
        <v>19.163000000234092</v>
      </c>
      <c r="F554" s="300"/>
      <c r="G554" s="300">
        <v>6.4899999998951134</v>
      </c>
      <c r="H554" s="300">
        <v>4.7550000002012194</v>
      </c>
      <c r="I554" s="300">
        <v>11.92000000015814</v>
      </c>
      <c r="J554" s="300">
        <f>SUM(G554:I554)</f>
        <v>23.165000000254473</v>
      </c>
      <c r="K554" s="300"/>
      <c r="L554" s="300">
        <v>6.2309999999480672</v>
      </c>
      <c r="M554" s="300">
        <v>4.763000000178379</v>
      </c>
      <c r="N554" s="300">
        <v>12.185999999773866</v>
      </c>
      <c r="O554" s="300">
        <f>SUM(L554:N554)</f>
        <v>23.179999999900311</v>
      </c>
      <c r="P554" s="300"/>
      <c r="Q554" s="300">
        <v>6.0580000001342071</v>
      </c>
      <c r="R554" s="300">
        <v>4.7870000002992601</v>
      </c>
      <c r="S554" s="300">
        <v>11.901999999990146</v>
      </c>
      <c r="T554" s="300">
        <f>SUM(Q554:S554)</f>
        <v>22.747000000423611</v>
      </c>
      <c r="U554" s="300"/>
      <c r="V554" s="300">
        <v>5.8939999999946444</v>
      </c>
      <c r="W554" s="300">
        <v>4.7479999999559821</v>
      </c>
      <c r="X554" s="300">
        <v>11.769000000192509</v>
      </c>
      <c r="Y554" s="300">
        <f>SUM(V554:X554)</f>
        <v>22.411000000143137</v>
      </c>
    </row>
    <row r="555" spans="1:25" ht="12.45" x14ac:dyDescent="0.3">
      <c r="A555" s="260" t="s">
        <v>355</v>
      </c>
      <c r="B555" s="300">
        <v>28.133999999691689</v>
      </c>
      <c r="C555" s="300">
        <v>2.0230000000330217</v>
      </c>
      <c r="D555" s="300">
        <v>12.48400000014219</v>
      </c>
      <c r="E555" s="300">
        <f t="shared" ref="E555:E556" si="1461">SUM(B555:D555)</f>
        <v>42.640999999866899</v>
      </c>
      <c r="F555" s="300"/>
      <c r="G555" s="300">
        <v>26.04699999977905</v>
      </c>
      <c r="H555" s="300">
        <v>2.6560000000537998</v>
      </c>
      <c r="I555" s="300">
        <v>13.01800000007028</v>
      </c>
      <c r="J555" s="300">
        <f t="shared" ref="J555:J556" si="1462">SUM(G555:I555)</f>
        <v>41.720999999903128</v>
      </c>
      <c r="K555" s="300"/>
      <c r="L555" s="300">
        <v>25.513999999745021</v>
      </c>
      <c r="M555" s="300">
        <v>3.0409999999851545</v>
      </c>
      <c r="N555" s="300">
        <v>22.813000000132504</v>
      </c>
      <c r="O555" s="300">
        <f t="shared" ref="O555:O556" si="1463">SUM(L555:N555)</f>
        <v>51.367999999862676</v>
      </c>
      <c r="P555" s="300"/>
      <c r="Q555" s="300">
        <v>25.893999999912946</v>
      </c>
      <c r="R555" s="300">
        <v>3.0629999999930453</v>
      </c>
      <c r="S555" s="300">
        <v>24.082000000434086</v>
      </c>
      <c r="T555" s="300">
        <f t="shared" ref="T555:T556" si="1464">SUM(Q555:S555)</f>
        <v>53.039000000340081</v>
      </c>
      <c r="U555" s="300"/>
      <c r="V555" s="300">
        <v>27.363999999808769</v>
      </c>
      <c r="W555" s="300">
        <v>3.1359999999995836</v>
      </c>
      <c r="X555" s="300">
        <v>25.422000000272227</v>
      </c>
      <c r="Y555" s="300">
        <f t="shared" ref="Y555:Y556" si="1465">SUM(V555:X555)</f>
        <v>55.92200000008058</v>
      </c>
    </row>
    <row r="556" spans="1:25" ht="12.45" x14ac:dyDescent="0.3">
      <c r="A556" s="260" t="s">
        <v>354</v>
      </c>
      <c r="B556" s="300">
        <f>SUM(B554:B555)</f>
        <v>34.052999999616347</v>
      </c>
      <c r="C556" s="300">
        <f t="shared" ref="C556" si="1466">SUM(C554:C555)</f>
        <v>6.1700000002364686</v>
      </c>
      <c r="D556" s="300">
        <f t="shared" ref="D556" si="1467">SUM(D554:D555)</f>
        <v>21.581000000248181</v>
      </c>
      <c r="E556" s="300">
        <f t="shared" si="1461"/>
        <v>61.804000000100999</v>
      </c>
      <c r="F556" s="300"/>
      <c r="G556" s="300">
        <f>SUM(G554:G555)</f>
        <v>32.536999999674165</v>
      </c>
      <c r="H556" s="300">
        <f t="shared" ref="H556" si="1468">SUM(H554:H555)</f>
        <v>7.4110000002550187</v>
      </c>
      <c r="I556" s="300">
        <f t="shared" ref="I556" si="1469">SUM(I554:I555)</f>
        <v>24.938000000228421</v>
      </c>
      <c r="J556" s="300">
        <f t="shared" si="1462"/>
        <v>64.886000000157594</v>
      </c>
      <c r="K556" s="300"/>
      <c r="L556" s="300">
        <f>SUM(L554:L555)</f>
        <v>31.744999999693089</v>
      </c>
      <c r="M556" s="300">
        <f t="shared" ref="M556" si="1470">SUM(M554:M555)</f>
        <v>7.8040000001635335</v>
      </c>
      <c r="N556" s="300">
        <f t="shared" ref="N556" si="1471">SUM(N554:N555)</f>
        <v>34.998999999906374</v>
      </c>
      <c r="O556" s="300">
        <f t="shared" si="1463"/>
        <v>74.547999999762993</v>
      </c>
      <c r="P556" s="300"/>
      <c r="Q556" s="300">
        <f>SUM(Q554:Q555)</f>
        <v>31.952000000047153</v>
      </c>
      <c r="R556" s="300">
        <f t="shared" ref="R556" si="1472">SUM(R554:R555)</f>
        <v>7.8500000002923054</v>
      </c>
      <c r="S556" s="300">
        <f t="shared" ref="S556" si="1473">SUM(S554:S555)</f>
        <v>35.984000000424231</v>
      </c>
      <c r="T556" s="300">
        <f t="shared" si="1464"/>
        <v>75.786000000763693</v>
      </c>
      <c r="U556" s="300"/>
      <c r="V556" s="300">
        <f>SUM(V554:V555)</f>
        <v>33.257999999803417</v>
      </c>
      <c r="W556" s="300">
        <f t="shared" ref="W556" si="1474">SUM(W554:W555)</f>
        <v>7.8839999999555657</v>
      </c>
      <c r="X556" s="300">
        <f t="shared" ref="X556" si="1475">SUM(X554:X555)</f>
        <v>37.19100000046474</v>
      </c>
      <c r="Y556" s="300">
        <f t="shared" si="1465"/>
        <v>78.33300000022372</v>
      </c>
    </row>
    <row r="557" spans="1:25" ht="12.45" x14ac:dyDescent="0.3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ht="12.45" x14ac:dyDescent="0.3">
      <c r="A558" s="261" t="str">
        <f>name!A78</f>
        <v>Other personal service</v>
      </c>
      <c r="C558" s="263"/>
    </row>
    <row r="559" spans="1:25" ht="12.45" x14ac:dyDescent="0.3">
      <c r="A559" s="260" t="s">
        <v>356</v>
      </c>
      <c r="B559" s="300">
        <v>74.223999999780631</v>
      </c>
      <c r="C559" s="300">
        <v>78.018000001162449</v>
      </c>
      <c r="D559" s="300">
        <v>88.695000002225399</v>
      </c>
      <c r="E559" s="300">
        <f>SUM(B559:D559)</f>
        <v>240.93700000316846</v>
      </c>
      <c r="F559" s="300"/>
      <c r="G559" s="300">
        <v>78.431999999506047</v>
      </c>
      <c r="H559" s="300">
        <v>80.311000001162242</v>
      </c>
      <c r="I559" s="300">
        <v>116.07600000309846</v>
      </c>
      <c r="J559" s="300">
        <f>SUM(G559:I559)</f>
        <v>274.81900000376675</v>
      </c>
      <c r="K559" s="300"/>
      <c r="L559" s="300">
        <v>79.893999999802176</v>
      </c>
      <c r="M559" s="300">
        <v>80.699000001003142</v>
      </c>
      <c r="N559" s="300">
        <v>117.70599999718674</v>
      </c>
      <c r="O559" s="300">
        <f>SUM(L559:N559)</f>
        <v>278.29899999799204</v>
      </c>
      <c r="P559" s="300"/>
      <c r="Q559" s="300">
        <v>77.064000001576801</v>
      </c>
      <c r="R559" s="300">
        <v>78.595000001370735</v>
      </c>
      <c r="S559" s="300">
        <v>114.67999999993687</v>
      </c>
      <c r="T559" s="300">
        <f>SUM(Q559:S559)</f>
        <v>270.3390000028844</v>
      </c>
      <c r="U559" s="300"/>
      <c r="V559" s="300">
        <v>74.668999999704582</v>
      </c>
      <c r="W559" s="300">
        <v>76.958999999562238</v>
      </c>
      <c r="X559" s="300">
        <v>113.31000000014389</v>
      </c>
      <c r="Y559" s="300">
        <f>SUM(V559:X559)</f>
        <v>264.93799999941069</v>
      </c>
    </row>
    <row r="560" spans="1:25" ht="12.45" x14ac:dyDescent="0.3">
      <c r="A560" s="260" t="s">
        <v>355</v>
      </c>
      <c r="B560" s="300">
        <v>97.971000000084047</v>
      </c>
      <c r="C560" s="300">
        <v>26.022000000183482</v>
      </c>
      <c r="D560" s="300">
        <v>44.983000001183996</v>
      </c>
      <c r="E560" s="300">
        <f t="shared" ref="E560:E561" si="1476">SUM(B560:D560)</f>
        <v>168.97600000145152</v>
      </c>
      <c r="F560" s="300"/>
      <c r="G560" s="300">
        <v>89.683000000031186</v>
      </c>
      <c r="H560" s="300">
        <v>31.088000000149986</v>
      </c>
      <c r="I560" s="300">
        <v>42.848000000411616</v>
      </c>
      <c r="J560" s="300">
        <f t="shared" ref="J560:J561" si="1477">SUM(G560:I560)</f>
        <v>163.61900000059279</v>
      </c>
      <c r="K560" s="300"/>
      <c r="L560" s="300">
        <v>87.759000000069534</v>
      </c>
      <c r="M560" s="300">
        <v>32.646000000050293</v>
      </c>
      <c r="N560" s="300">
        <v>41.55800000091272</v>
      </c>
      <c r="O560" s="300">
        <f t="shared" ref="O560:O561" si="1478">SUM(L560:N560)</f>
        <v>161.96300000103255</v>
      </c>
      <c r="P560" s="300"/>
      <c r="Q560" s="300">
        <v>89.356000000068804</v>
      </c>
      <c r="R560" s="300">
        <v>32.402999999970483</v>
      </c>
      <c r="S560" s="300">
        <v>41.870000001853235</v>
      </c>
      <c r="T560" s="300">
        <f t="shared" ref="T560:T561" si="1479">SUM(Q560:S560)</f>
        <v>163.62900000189254</v>
      </c>
      <c r="U560" s="300"/>
      <c r="V560" s="300">
        <v>94.613000000075786</v>
      </c>
      <c r="W560" s="300">
        <v>33.002999999963102</v>
      </c>
      <c r="X560" s="300">
        <v>43.719000001320346</v>
      </c>
      <c r="Y560" s="300">
        <f t="shared" ref="Y560:Y561" si="1480">SUM(V560:X560)</f>
        <v>171.33500000135925</v>
      </c>
    </row>
    <row r="561" spans="1:25" ht="12.45" x14ac:dyDescent="0.3">
      <c r="A561" s="260" t="s">
        <v>354</v>
      </c>
      <c r="B561" s="300">
        <f>SUM(B559:B560)</f>
        <v>172.19499999986468</v>
      </c>
      <c r="C561" s="300">
        <f t="shared" ref="C561" si="1481">SUM(C559:C560)</f>
        <v>104.04000000134593</v>
      </c>
      <c r="D561" s="300">
        <f t="shared" ref="D561" si="1482">SUM(D559:D560)</f>
        <v>133.67800000340941</v>
      </c>
      <c r="E561" s="300">
        <f t="shared" si="1476"/>
        <v>409.91300000462002</v>
      </c>
      <c r="F561" s="300"/>
      <c r="G561" s="300">
        <f>SUM(G559:G560)</f>
        <v>168.11499999953725</v>
      </c>
      <c r="H561" s="300">
        <f t="shared" ref="H561" si="1483">SUM(H559:H560)</f>
        <v>111.39900000131223</v>
      </c>
      <c r="I561" s="300">
        <f t="shared" ref="I561" si="1484">SUM(I559:I560)</f>
        <v>158.92400000351006</v>
      </c>
      <c r="J561" s="300">
        <f t="shared" si="1477"/>
        <v>438.43800000435954</v>
      </c>
      <c r="K561" s="300"/>
      <c r="L561" s="300">
        <f>SUM(L559:L560)</f>
        <v>167.65299999987172</v>
      </c>
      <c r="M561" s="300">
        <f t="shared" ref="M561" si="1485">SUM(M559:M560)</f>
        <v>113.34500000105344</v>
      </c>
      <c r="N561" s="300">
        <f t="shared" ref="N561" si="1486">SUM(N559:N560)</f>
        <v>159.26399999809945</v>
      </c>
      <c r="O561" s="300">
        <f t="shared" si="1478"/>
        <v>440.26199999902462</v>
      </c>
      <c r="P561" s="300"/>
      <c r="Q561" s="300">
        <f>SUM(Q559:Q560)</f>
        <v>166.4200000016456</v>
      </c>
      <c r="R561" s="300">
        <f t="shared" ref="R561" si="1487">SUM(R559:R560)</f>
        <v>110.99800000134121</v>
      </c>
      <c r="S561" s="300">
        <f t="shared" ref="S561" si="1488">SUM(S559:S560)</f>
        <v>156.5500000017901</v>
      </c>
      <c r="T561" s="300">
        <f t="shared" si="1479"/>
        <v>433.96800000477685</v>
      </c>
      <c r="U561" s="300"/>
      <c r="V561" s="300">
        <f>SUM(V559:V560)</f>
        <v>169.28199999978037</v>
      </c>
      <c r="W561" s="300">
        <f t="shared" ref="W561" si="1489">SUM(W559:W560)</f>
        <v>109.96199999952535</v>
      </c>
      <c r="X561" s="300">
        <f t="shared" ref="X561" si="1490">SUM(X559:X560)</f>
        <v>157.02900000146423</v>
      </c>
      <c r="Y561" s="300">
        <f t="shared" si="1480"/>
        <v>436.27300000076997</v>
      </c>
    </row>
    <row r="562" spans="1:25" ht="12.45" x14ac:dyDescent="0.3">
      <c r="A562" s="261"/>
      <c r="C562" s="263"/>
    </row>
    <row r="563" spans="1:25" ht="12.45" x14ac:dyDescent="0.3">
      <c r="A563" s="261" t="s">
        <v>357</v>
      </c>
      <c r="C563" s="263"/>
    </row>
    <row r="564" spans="1:25" ht="12.45" x14ac:dyDescent="0.3">
      <c r="A564" s="260" t="s">
        <v>356</v>
      </c>
      <c r="B564" s="300">
        <f>SUM(B549,B554,B559)</f>
        <v>173.49599999852734</v>
      </c>
      <c r="C564" s="300">
        <f t="shared" ref="C564:D564" si="1491">SUM(C549,C554,C559)</f>
        <v>168.93400000123341</v>
      </c>
      <c r="D564" s="300">
        <f t="shared" si="1491"/>
        <v>164.24100000238229</v>
      </c>
      <c r="E564" s="300">
        <f>SUM(B564:D564)</f>
        <v>506.67100000214305</v>
      </c>
      <c r="F564" s="300"/>
      <c r="G564" s="300">
        <f>SUM(G549,G554,G559)</f>
        <v>181.50999999831541</v>
      </c>
      <c r="H564" s="300">
        <f t="shared" ref="H564:I564" si="1492">SUM(H549,H554,H559)</f>
        <v>160.88700000139951</v>
      </c>
      <c r="I564" s="300">
        <f t="shared" si="1492"/>
        <v>209.99400000336698</v>
      </c>
      <c r="J564" s="300">
        <f>SUM(G564:I564)</f>
        <v>552.3910000030819</v>
      </c>
      <c r="K564" s="300"/>
      <c r="L564" s="300">
        <f>SUM(L549,L554,L559)</f>
        <v>181.7679999992622</v>
      </c>
      <c r="M564" s="300">
        <f t="shared" ref="M564" si="1493">SUM(M549,M554,M559)</f>
        <v>161.03000000117873</v>
      </c>
      <c r="N564" s="300">
        <f>SUM(N549,N554,N559)</f>
        <v>209.39199999563485</v>
      </c>
      <c r="O564" s="300">
        <f>SUM(L564:N564)</f>
        <v>552.18999999607581</v>
      </c>
      <c r="P564" s="300"/>
      <c r="Q564" s="300">
        <f>SUM(Q549,Q554,Q559)</f>
        <v>177.03500000280323</v>
      </c>
      <c r="R564" s="300">
        <f t="shared" ref="R564:S564" si="1494">SUM(R549,R554,R559)</f>
        <v>157.07500000171117</v>
      </c>
      <c r="S564" s="300">
        <f t="shared" si="1494"/>
        <v>204.39499999957957</v>
      </c>
      <c r="T564" s="300">
        <f>SUM(Q564:S564)</f>
        <v>538.50500000409397</v>
      </c>
      <c r="U564" s="300"/>
      <c r="V564" s="300">
        <f>SUM(V549,V554,V559)</f>
        <v>172.2340000000099</v>
      </c>
      <c r="W564" s="300">
        <f t="shared" ref="W564:X564" si="1495">SUM(W549,W554,W559)</f>
        <v>153.9069999994143</v>
      </c>
      <c r="X564" s="300">
        <f t="shared" si="1495"/>
        <v>202.14100000198397</v>
      </c>
      <c r="Y564" s="300">
        <f>SUM(V564:X564)</f>
        <v>528.28200000140816</v>
      </c>
    </row>
    <row r="565" spans="1:25" ht="12.45" x14ac:dyDescent="0.3">
      <c r="A565" s="260" t="s">
        <v>355</v>
      </c>
      <c r="B565" s="300">
        <f>SUM(B550,B555,B560)</f>
        <v>189.24699999833999</v>
      </c>
      <c r="C565" s="300">
        <f t="shared" ref="C565:D565" si="1496">SUM(C550,C555,C560)</f>
        <v>47.931000000153929</v>
      </c>
      <c r="D565" s="300">
        <f t="shared" si="1496"/>
        <v>91.577000001872975</v>
      </c>
      <c r="E565" s="300">
        <f t="shared" ref="E565:E566" si="1497">SUM(B565:D565)</f>
        <v>328.75500000036692</v>
      </c>
      <c r="F565" s="300"/>
      <c r="G565" s="300">
        <f>SUM(G550,G555,G560)</f>
        <v>169.35099999911321</v>
      </c>
      <c r="H565" s="300">
        <f t="shared" ref="H565:I565" si="1498">SUM(H550,H555,H560)</f>
        <v>54.90000000013417</v>
      </c>
      <c r="I565" s="300">
        <f t="shared" si="1498"/>
        <v>87.4770000002638</v>
      </c>
      <c r="J565" s="300">
        <f t="shared" ref="J565:J566" si="1499">SUM(G565:I565)</f>
        <v>311.72799999951116</v>
      </c>
      <c r="K565" s="300"/>
      <c r="L565" s="300">
        <f>SUM(L550,L555,L560)</f>
        <v>165.03799999967373</v>
      </c>
      <c r="M565" s="300">
        <f t="shared" ref="M565:N565" si="1500">SUM(M550,M555,M560)</f>
        <v>58.017000000129386</v>
      </c>
      <c r="N565" s="300">
        <f t="shared" si="1500"/>
        <v>81.063000001456999</v>
      </c>
      <c r="O565" s="300">
        <f t="shared" ref="O565:O566" si="1501">SUM(L565:N565)</f>
        <v>304.1180000012601</v>
      </c>
      <c r="P565" s="300"/>
      <c r="Q565" s="300">
        <f>SUM(Q550,Q555,Q560)</f>
        <v>169.28100000023016</v>
      </c>
      <c r="R565" s="300">
        <f t="shared" ref="R565:S565" si="1502">SUM(R550,R555,R560)</f>
        <v>58.111999999977783</v>
      </c>
      <c r="S565" s="300">
        <f t="shared" si="1502"/>
        <v>83.549000003481041</v>
      </c>
      <c r="T565" s="300">
        <f t="shared" ref="T565:T566" si="1503">SUM(Q565:S565)</f>
        <v>310.94200000368903</v>
      </c>
      <c r="U565" s="300"/>
      <c r="V565" s="300">
        <f>SUM(V550,V555,V560)</f>
        <v>179.81699999996181</v>
      </c>
      <c r="W565" s="300">
        <f t="shared" ref="W565:X565" si="1504">SUM(W550,W555,W560)</f>
        <v>59.422999999942114</v>
      </c>
      <c r="X565" s="300">
        <f t="shared" si="1504"/>
        <v>88.562000002499929</v>
      </c>
      <c r="Y565" s="300">
        <f t="shared" ref="Y565:Y566" si="1505">SUM(V565:X565)</f>
        <v>327.80200000240382</v>
      </c>
    </row>
    <row r="566" spans="1:25" ht="12.45" x14ac:dyDescent="0.3">
      <c r="A566" s="264" t="s">
        <v>354</v>
      </c>
      <c r="B566" s="301">
        <f>SUM(B564:B565)</f>
        <v>362.7429999968673</v>
      </c>
      <c r="C566" s="301">
        <f t="shared" ref="C566" si="1506">SUM(C564:C565)</f>
        <v>216.86500000138733</v>
      </c>
      <c r="D566" s="301">
        <f t="shared" ref="D566" si="1507">SUM(D564:D565)</f>
        <v>255.81800000425528</v>
      </c>
      <c r="E566" s="301">
        <f t="shared" si="1497"/>
        <v>835.42600000250991</v>
      </c>
      <c r="F566" s="301"/>
      <c r="G566" s="301">
        <f>SUM(G564:G565)</f>
        <v>350.86099999742862</v>
      </c>
      <c r="H566" s="301">
        <f t="shared" ref="H566" si="1508">SUM(H564:H565)</f>
        <v>215.78700000153367</v>
      </c>
      <c r="I566" s="301">
        <f t="shared" ref="I566" si="1509">SUM(I564:I565)</f>
        <v>297.47100000363076</v>
      </c>
      <c r="J566" s="301">
        <f t="shared" si="1499"/>
        <v>864.11900000259311</v>
      </c>
      <c r="K566" s="301"/>
      <c r="L566" s="301">
        <f>SUM(L564:L565)</f>
        <v>346.80599999893593</v>
      </c>
      <c r="M566" s="301">
        <f t="shared" ref="M566" si="1510">SUM(M564:M565)</f>
        <v>219.04700000130811</v>
      </c>
      <c r="N566" s="301">
        <f t="shared" ref="N566" si="1511">SUM(N564:N565)</f>
        <v>290.45499999709182</v>
      </c>
      <c r="O566" s="301">
        <f t="shared" si="1501"/>
        <v>856.30799999733586</v>
      </c>
      <c r="P566" s="301"/>
      <c r="Q566" s="301">
        <f>SUM(Q564:Q565)</f>
        <v>346.31600000303342</v>
      </c>
      <c r="R566" s="301">
        <f t="shared" ref="R566" si="1512">SUM(R564:R565)</f>
        <v>215.18700000168894</v>
      </c>
      <c r="S566" s="301">
        <f t="shared" ref="S566" si="1513">SUM(S564:S565)</f>
        <v>287.94400000306064</v>
      </c>
      <c r="T566" s="301">
        <f t="shared" si="1503"/>
        <v>849.447000007783</v>
      </c>
      <c r="U566" s="301"/>
      <c r="V566" s="301">
        <f>SUM(V564:V565)</f>
        <v>352.05099999997174</v>
      </c>
      <c r="W566" s="301">
        <f t="shared" ref="W566" si="1514">SUM(W564:W565)</f>
        <v>213.3299999993564</v>
      </c>
      <c r="X566" s="301">
        <f t="shared" ref="X566" si="1515">SUM(X564:X565)</f>
        <v>290.7030000044839</v>
      </c>
      <c r="Y566" s="301">
        <f t="shared" si="1505"/>
        <v>856.08400000381209</v>
      </c>
    </row>
    <row r="578" spans="1:3" x14ac:dyDescent="0.35">
      <c r="A578" s="261"/>
    </row>
    <row r="579" spans="1:3" ht="12.45" x14ac:dyDescent="0.3">
      <c r="C579" s="263"/>
    </row>
    <row r="580" spans="1:3" ht="12.45" x14ac:dyDescent="0.3">
      <c r="C580" s="263"/>
    </row>
    <row r="581" spans="1:3" ht="12.45" x14ac:dyDescent="0.3">
      <c r="C581" s="263"/>
    </row>
    <row r="582" spans="1:3" ht="12.45" x14ac:dyDescent="0.3">
      <c r="C582" s="263"/>
    </row>
    <row r="587" spans="1:3" ht="12.45" x14ac:dyDescent="0.3">
      <c r="C587" s="263"/>
    </row>
    <row r="588" spans="1:3" x14ac:dyDescent="0.35">
      <c r="A588" s="262"/>
    </row>
    <row r="589" spans="1:3" x14ac:dyDescent="0.35">
      <c r="A589" s="261"/>
    </row>
    <row r="592" spans="1:3" ht="12.45" x14ac:dyDescent="0.3">
      <c r="C592" s="263"/>
    </row>
    <row r="593" spans="1:3" x14ac:dyDescent="0.35">
      <c r="A593" s="261"/>
    </row>
    <row r="594" spans="1:3" ht="12.45" x14ac:dyDescent="0.3">
      <c r="C594" s="263"/>
    </row>
    <row r="595" spans="1:3" ht="12.45" x14ac:dyDescent="0.3">
      <c r="C595" s="263"/>
    </row>
    <row r="596" spans="1:3" ht="12.45" x14ac:dyDescent="0.3">
      <c r="C596" s="263"/>
    </row>
    <row r="598" spans="1:3" x14ac:dyDescent="0.35">
      <c r="A598" s="261"/>
    </row>
    <row r="599" spans="1:3" ht="12.45" x14ac:dyDescent="0.3">
      <c r="C599" s="263"/>
    </row>
    <row r="600" spans="1:3" ht="12.45" x14ac:dyDescent="0.3">
      <c r="C600" s="263"/>
    </row>
    <row r="601" spans="1:3" ht="12.45" x14ac:dyDescent="0.3">
      <c r="C601" s="263"/>
    </row>
    <row r="602" spans="1:3" ht="12.45" x14ac:dyDescent="0.3">
      <c r="C602" s="263"/>
    </row>
    <row r="603" spans="1:3" ht="12.45" x14ac:dyDescent="0.3">
      <c r="C603" s="263"/>
    </row>
    <row r="604" spans="1:3" ht="12.45" x14ac:dyDescent="0.3">
      <c r="C604" s="263"/>
    </row>
    <row r="605" spans="1:3" ht="12.45" x14ac:dyDescent="0.3">
      <c r="C605" s="263"/>
    </row>
    <row r="606" spans="1:3" ht="12.45" x14ac:dyDescent="0.3">
      <c r="C606" s="263"/>
    </row>
    <row r="607" spans="1:3" x14ac:dyDescent="0.35">
      <c r="A607" s="261"/>
    </row>
    <row r="608" spans="1:3" ht="12.45" x14ac:dyDescent="0.3">
      <c r="C608" s="263"/>
    </row>
    <row r="609" spans="1:3" ht="12.45" x14ac:dyDescent="0.3">
      <c r="C609" s="263"/>
    </row>
    <row r="610" spans="1:3" x14ac:dyDescent="0.35">
      <c r="A610" s="261"/>
    </row>
    <row r="611" spans="1:3" ht="12.45" x14ac:dyDescent="0.3">
      <c r="C611" s="263"/>
    </row>
    <row r="612" spans="1:3" ht="12.45" x14ac:dyDescent="0.3">
      <c r="C612" s="263"/>
    </row>
    <row r="613" spans="1:3" ht="12.45" x14ac:dyDescent="0.3">
      <c r="C613" s="263"/>
    </row>
    <row r="638" spans="1:3" x14ac:dyDescent="0.35">
      <c r="A638" s="261"/>
    </row>
    <row r="639" spans="1:3" ht="12.45" x14ac:dyDescent="0.3">
      <c r="C639" s="263"/>
    </row>
    <row r="640" spans="1:3" ht="12.45" x14ac:dyDescent="0.3">
      <c r="C640" s="263"/>
    </row>
    <row r="641" spans="1:3" ht="12.45" x14ac:dyDescent="0.3">
      <c r="C641" s="263"/>
    </row>
    <row r="643" spans="1:3" x14ac:dyDescent="0.35">
      <c r="A643" s="261"/>
    </row>
    <row r="644" spans="1:3" ht="12.45" x14ac:dyDescent="0.3">
      <c r="C644" s="263"/>
    </row>
    <row r="645" spans="1:3" ht="12.45" x14ac:dyDescent="0.3">
      <c r="C645" s="263"/>
    </row>
    <row r="646" spans="1:3" ht="12.45" x14ac:dyDescent="0.3">
      <c r="C646" s="263"/>
    </row>
    <row r="647" spans="1:3" ht="12.45" x14ac:dyDescent="0.3">
      <c r="C647" s="263"/>
    </row>
    <row r="648" spans="1:3" x14ac:dyDescent="0.35">
      <c r="A648" s="261"/>
    </row>
    <row r="649" spans="1:3" ht="12.45" x14ac:dyDescent="0.3">
      <c r="C649" s="263"/>
    </row>
    <row r="650" spans="1:3" ht="12.45" x14ac:dyDescent="0.3">
      <c r="C650" s="263"/>
    </row>
    <row r="651" spans="1:3" ht="12.45" x14ac:dyDescent="0.3">
      <c r="C651" s="263"/>
    </row>
    <row r="652" spans="1:3" x14ac:dyDescent="0.35">
      <c r="A652" s="262"/>
    </row>
    <row r="653" spans="1:3" x14ac:dyDescent="0.35">
      <c r="A653" s="261"/>
    </row>
    <row r="654" spans="1:3" ht="12.45" x14ac:dyDescent="0.3">
      <c r="C654" s="263"/>
    </row>
    <row r="655" spans="1:3" ht="12.45" x14ac:dyDescent="0.3">
      <c r="C655" s="263"/>
    </row>
    <row r="656" spans="1:3" ht="12.45" x14ac:dyDescent="0.3">
      <c r="C656" s="263"/>
    </row>
    <row r="658" spans="1:3" x14ac:dyDescent="0.35">
      <c r="A658" s="261"/>
    </row>
    <row r="659" spans="1:3" ht="12.45" x14ac:dyDescent="0.3">
      <c r="C659" s="263"/>
    </row>
    <row r="660" spans="1:3" ht="12.45" x14ac:dyDescent="0.3">
      <c r="C660" s="263"/>
    </row>
    <row r="661" spans="1:3" ht="12.45" x14ac:dyDescent="0.3">
      <c r="C661" s="263"/>
    </row>
    <row r="662" spans="1:3" ht="12.45" x14ac:dyDescent="0.3">
      <c r="C662" s="263"/>
    </row>
    <row r="663" spans="1:3" x14ac:dyDescent="0.35">
      <c r="A663" s="261"/>
    </row>
    <row r="664" spans="1:3" ht="12.45" x14ac:dyDescent="0.3">
      <c r="C664" s="263"/>
    </row>
    <row r="665" spans="1:3" ht="12.45" x14ac:dyDescent="0.3">
      <c r="C665" s="263"/>
    </row>
    <row r="666" spans="1:3" x14ac:dyDescent="0.35">
      <c r="A666" s="261"/>
    </row>
    <row r="667" spans="1:3" ht="12.45" x14ac:dyDescent="0.3">
      <c r="C667" s="263"/>
    </row>
    <row r="668" spans="1:3" ht="12.45" x14ac:dyDescent="0.3">
      <c r="C668" s="263"/>
    </row>
    <row r="669" spans="1:3" ht="12.45" x14ac:dyDescent="0.3">
      <c r="C669" s="263"/>
    </row>
    <row r="670" spans="1:3" ht="12.45" x14ac:dyDescent="0.3">
      <c r="C670" s="263"/>
    </row>
    <row r="671" spans="1:3" ht="12.45" x14ac:dyDescent="0.3">
      <c r="C671" s="263"/>
    </row>
    <row r="672" spans="1:3" ht="12.45" x14ac:dyDescent="0.3">
      <c r="C672" s="263"/>
    </row>
    <row r="673" spans="1:3" ht="12.45" x14ac:dyDescent="0.3">
      <c r="A673" s="261"/>
      <c r="C673" s="263"/>
    </row>
    <row r="674" spans="1:3" ht="12.45" x14ac:dyDescent="0.3">
      <c r="C674" s="263"/>
    </row>
    <row r="675" spans="1:3" ht="12.45" x14ac:dyDescent="0.3">
      <c r="C675" s="263"/>
    </row>
    <row r="676" spans="1:3" ht="12.45" x14ac:dyDescent="0.3">
      <c r="C676" s="263"/>
    </row>
    <row r="677" spans="1:3" x14ac:dyDescent="0.35">
      <c r="A677" s="262"/>
    </row>
    <row r="678" spans="1:3" x14ac:dyDescent="0.35">
      <c r="A678" s="261"/>
    </row>
    <row r="679" spans="1:3" ht="12.45" x14ac:dyDescent="0.3">
      <c r="C679" s="263"/>
    </row>
    <row r="680" spans="1:3" ht="12.45" x14ac:dyDescent="0.3">
      <c r="C680" s="263"/>
    </row>
    <row r="681" spans="1:3" ht="12.45" x14ac:dyDescent="0.3">
      <c r="C681" s="263"/>
    </row>
    <row r="683" spans="1:3" x14ac:dyDescent="0.35">
      <c r="A683" s="261"/>
    </row>
    <row r="684" spans="1:3" ht="12.45" x14ac:dyDescent="0.3">
      <c r="C684" s="263"/>
    </row>
    <row r="685" spans="1:3" ht="12.45" x14ac:dyDescent="0.3">
      <c r="C685" s="263"/>
    </row>
    <row r="686" spans="1:3" ht="12.45" x14ac:dyDescent="0.3">
      <c r="C686" s="263"/>
    </row>
    <row r="687" spans="1:3" x14ac:dyDescent="0.35">
      <c r="A687" s="262"/>
    </row>
    <row r="688" spans="1:3" x14ac:dyDescent="0.35">
      <c r="A688" s="261"/>
    </row>
    <row r="689" spans="1:3" ht="12.45" x14ac:dyDescent="0.3">
      <c r="C689" s="263"/>
    </row>
    <row r="690" spans="1:3" ht="12.45" x14ac:dyDescent="0.3">
      <c r="C690" s="263"/>
    </row>
    <row r="691" spans="1:3" ht="12.45" x14ac:dyDescent="0.3">
      <c r="C691" s="263"/>
    </row>
    <row r="693" spans="1:3" x14ac:dyDescent="0.35">
      <c r="A693" s="261"/>
    </row>
    <row r="694" spans="1:3" x14ac:dyDescent="0.35">
      <c r="A694" s="261"/>
    </row>
    <row r="695" spans="1:3" ht="12.45" x14ac:dyDescent="0.3">
      <c r="C695" s="263"/>
    </row>
    <row r="696" spans="1:3" ht="12.45" x14ac:dyDescent="0.3">
      <c r="C696" s="263"/>
    </row>
    <row r="697" spans="1:3" ht="12.45" x14ac:dyDescent="0.3">
      <c r="C697" s="263"/>
    </row>
    <row r="699" spans="1:3" x14ac:dyDescent="0.35">
      <c r="A699" s="261"/>
    </row>
    <row r="700" spans="1:3" ht="12.45" x14ac:dyDescent="0.3">
      <c r="C700" s="263"/>
    </row>
    <row r="701" spans="1:3" ht="12.45" x14ac:dyDescent="0.3">
      <c r="C701" s="263"/>
    </row>
    <row r="702" spans="1:3" ht="12.45" x14ac:dyDescent="0.3">
      <c r="C702" s="263"/>
    </row>
    <row r="703" spans="1:3" ht="12.45" x14ac:dyDescent="0.3">
      <c r="C703" s="263"/>
    </row>
    <row r="704" spans="1:3" x14ac:dyDescent="0.35">
      <c r="A704" s="261"/>
    </row>
    <row r="705" spans="1:3" ht="12.45" x14ac:dyDescent="0.3">
      <c r="C705" s="263"/>
    </row>
    <row r="706" spans="1:3" ht="12.45" x14ac:dyDescent="0.3">
      <c r="C706" s="263"/>
    </row>
    <row r="707" spans="1:3" ht="12.45" x14ac:dyDescent="0.3">
      <c r="C707" s="263"/>
    </row>
    <row r="708" spans="1:3" x14ac:dyDescent="0.35">
      <c r="A708" s="262"/>
    </row>
    <row r="709" spans="1:3" x14ac:dyDescent="0.35">
      <c r="A709" s="261"/>
    </row>
    <row r="710" spans="1:3" ht="12.45" x14ac:dyDescent="0.3">
      <c r="C710" s="263"/>
    </row>
    <row r="711" spans="1:3" ht="12.45" x14ac:dyDescent="0.3">
      <c r="C711" s="263"/>
    </row>
    <row r="712" spans="1:3" ht="12.45" x14ac:dyDescent="0.3">
      <c r="C712" s="263"/>
    </row>
    <row r="714" spans="1:3" x14ac:dyDescent="0.35">
      <c r="A714" s="261"/>
    </row>
    <row r="715" spans="1:3" ht="12.45" x14ac:dyDescent="0.3">
      <c r="C715" s="263"/>
    </row>
    <row r="716" spans="1:3" ht="12.45" x14ac:dyDescent="0.3">
      <c r="C716" s="263"/>
    </row>
    <row r="717" spans="1:3" ht="12.45" x14ac:dyDescent="0.3">
      <c r="C717" s="263"/>
    </row>
    <row r="718" spans="1:3" ht="12.45" x14ac:dyDescent="0.3">
      <c r="C718" s="263"/>
    </row>
    <row r="719" spans="1:3" x14ac:dyDescent="0.35">
      <c r="A719" s="261"/>
    </row>
    <row r="720" spans="1:3" ht="12.45" x14ac:dyDescent="0.3">
      <c r="C720" s="263"/>
    </row>
    <row r="721" spans="1:3" ht="12.45" x14ac:dyDescent="0.3">
      <c r="C721" s="263"/>
    </row>
    <row r="722" spans="1:3" x14ac:dyDescent="0.35">
      <c r="A722" s="261"/>
    </row>
    <row r="723" spans="1:3" ht="12.45" x14ac:dyDescent="0.3">
      <c r="C723" s="263"/>
    </row>
    <row r="724" spans="1:3" ht="12.45" x14ac:dyDescent="0.3">
      <c r="C724" s="263"/>
    </row>
    <row r="725" spans="1:3" ht="12.45" x14ac:dyDescent="0.3">
      <c r="C725" s="263"/>
    </row>
    <row r="726" spans="1:3" ht="12.45" x14ac:dyDescent="0.3">
      <c r="C726" s="263"/>
    </row>
    <row r="728" spans="1:3" x14ac:dyDescent="0.35">
      <c r="A728" s="261"/>
    </row>
    <row r="729" spans="1:3" ht="12.45" x14ac:dyDescent="0.3">
      <c r="C729" s="263"/>
    </row>
    <row r="730" spans="1:3" ht="12.45" x14ac:dyDescent="0.3">
      <c r="C730" s="263"/>
    </row>
    <row r="731" spans="1:3" ht="12.45" x14ac:dyDescent="0.3">
      <c r="C731" s="263"/>
    </row>
    <row r="732" spans="1:3" x14ac:dyDescent="0.35">
      <c r="A732" s="262"/>
    </row>
    <row r="733" spans="1:3" x14ac:dyDescent="0.35">
      <c r="A733" s="261"/>
    </row>
    <row r="734" spans="1:3" ht="12.45" x14ac:dyDescent="0.3">
      <c r="C734" s="263"/>
    </row>
    <row r="735" spans="1:3" ht="12.45" x14ac:dyDescent="0.3">
      <c r="C735" s="263"/>
    </row>
    <row r="736" spans="1:3" ht="12.45" x14ac:dyDescent="0.3">
      <c r="C736" s="263"/>
    </row>
    <row r="738" spans="1:3" x14ac:dyDescent="0.35">
      <c r="A738" s="261"/>
    </row>
    <row r="739" spans="1:3" ht="12.45" x14ac:dyDescent="0.3">
      <c r="C739" s="263"/>
    </row>
    <row r="740" spans="1:3" ht="12.45" x14ac:dyDescent="0.3">
      <c r="C740" s="263"/>
    </row>
    <row r="741" spans="1:3" ht="12.45" x14ac:dyDescent="0.3">
      <c r="C741" s="263"/>
    </row>
    <row r="743" spans="1:3" x14ac:dyDescent="0.35">
      <c r="A743" s="261"/>
    </row>
    <row r="744" spans="1:3" ht="12.45" x14ac:dyDescent="0.3">
      <c r="C744" s="263"/>
    </row>
    <row r="745" spans="1:3" ht="12.45" x14ac:dyDescent="0.3">
      <c r="C745" s="263"/>
    </row>
    <row r="746" spans="1:3" ht="12.45" x14ac:dyDescent="0.3">
      <c r="C746" s="263"/>
    </row>
    <row r="747" spans="1:3" ht="12.45" x14ac:dyDescent="0.3">
      <c r="C747" s="263"/>
    </row>
    <row r="748" spans="1:3" x14ac:dyDescent="0.35">
      <c r="A748" s="261"/>
    </row>
    <row r="749" spans="1:3" ht="12.45" x14ac:dyDescent="0.3">
      <c r="C749" s="263"/>
    </row>
    <row r="750" spans="1:3" x14ac:dyDescent="0.35">
      <c r="A750" s="261"/>
    </row>
    <row r="751" spans="1:3" ht="12.45" x14ac:dyDescent="0.3">
      <c r="C751" s="263"/>
    </row>
    <row r="752" spans="1:3" ht="12.45" x14ac:dyDescent="0.3">
      <c r="C752" s="263"/>
    </row>
    <row r="753" spans="1:3" ht="12.45" x14ac:dyDescent="0.3">
      <c r="C753" s="263"/>
    </row>
    <row r="755" spans="1:3" x14ac:dyDescent="0.35">
      <c r="A755" s="261"/>
    </row>
    <row r="756" spans="1:3" ht="12.45" x14ac:dyDescent="0.3">
      <c r="C756" s="263"/>
    </row>
    <row r="757" spans="1:3" ht="12.45" x14ac:dyDescent="0.3">
      <c r="C757" s="263"/>
    </row>
    <row r="758" spans="1:3" ht="12.45" x14ac:dyDescent="0.3">
      <c r="C758" s="263"/>
    </row>
    <row r="759" spans="1:3" ht="12.45" x14ac:dyDescent="0.3">
      <c r="C759" s="263"/>
    </row>
    <row r="760" spans="1:3" x14ac:dyDescent="0.35">
      <c r="A760" s="261"/>
    </row>
    <row r="761" spans="1:3" ht="12.45" x14ac:dyDescent="0.3">
      <c r="C761" s="263"/>
    </row>
    <row r="762" spans="1:3" ht="12.45" x14ac:dyDescent="0.3">
      <c r="C762" s="263"/>
    </row>
    <row r="763" spans="1:3" ht="12.45" x14ac:dyDescent="0.3">
      <c r="C763" s="263"/>
    </row>
    <row r="764" spans="1:3" x14ac:dyDescent="0.35">
      <c r="A764" s="262"/>
    </row>
    <row r="765" spans="1:3" x14ac:dyDescent="0.35">
      <c r="A765" s="261"/>
    </row>
    <row r="766" spans="1:3" ht="12.45" x14ac:dyDescent="0.3">
      <c r="C766" s="263"/>
    </row>
    <row r="767" spans="1:3" ht="12.45" x14ac:dyDescent="0.3">
      <c r="C767" s="263"/>
    </row>
    <row r="768" spans="1:3" ht="12.45" x14ac:dyDescent="0.3">
      <c r="C768" s="263"/>
    </row>
    <row r="770" spans="1:3" x14ac:dyDescent="0.35">
      <c r="A770" s="261"/>
    </row>
    <row r="771" spans="1:3" ht="12.45" x14ac:dyDescent="0.3">
      <c r="C771" s="263"/>
    </row>
    <row r="772" spans="1:3" ht="12.45" x14ac:dyDescent="0.3">
      <c r="C772" s="263"/>
    </row>
    <row r="773" spans="1:3" ht="12.45" x14ac:dyDescent="0.3">
      <c r="C773" s="263"/>
    </row>
    <row r="774" spans="1:3" ht="12.45" x14ac:dyDescent="0.3">
      <c r="C774" s="263"/>
    </row>
    <row r="775" spans="1:3" x14ac:dyDescent="0.35">
      <c r="A775" s="261"/>
    </row>
    <row r="776" spans="1:3" ht="12.45" x14ac:dyDescent="0.3">
      <c r="C776" s="263"/>
    </row>
    <row r="777" spans="1:3" ht="12.45" x14ac:dyDescent="0.3">
      <c r="C777" s="263"/>
    </row>
    <row r="778" spans="1:3" x14ac:dyDescent="0.35">
      <c r="A778" s="261"/>
    </row>
    <row r="779" spans="1:3" ht="12.45" x14ac:dyDescent="0.3">
      <c r="C779" s="263"/>
    </row>
    <row r="780" spans="1:3" ht="12.45" x14ac:dyDescent="0.3">
      <c r="C780" s="263"/>
    </row>
    <row r="781" spans="1:3" ht="12.45" x14ac:dyDescent="0.3">
      <c r="C781" s="263"/>
    </row>
    <row r="782" spans="1:3" ht="12.45" x14ac:dyDescent="0.3">
      <c r="C782" s="263"/>
    </row>
    <row r="783" spans="1:3" ht="12.45" x14ac:dyDescent="0.3">
      <c r="C783" s="263"/>
    </row>
    <row r="784" spans="1:3" ht="12.45" x14ac:dyDescent="0.3">
      <c r="C784" s="263"/>
    </row>
    <row r="785" spans="1:3" ht="12.45" x14ac:dyDescent="0.3">
      <c r="A785" s="261"/>
      <c r="C785" s="263"/>
    </row>
    <row r="786" spans="1:3" ht="12.45" x14ac:dyDescent="0.3">
      <c r="C786" s="263"/>
    </row>
    <row r="787" spans="1:3" ht="12.45" x14ac:dyDescent="0.3">
      <c r="C787" s="263"/>
    </row>
    <row r="788" spans="1:3" ht="12.45" x14ac:dyDescent="0.3">
      <c r="C788" s="263"/>
    </row>
    <row r="789" spans="1:3" x14ac:dyDescent="0.35">
      <c r="A789" s="262"/>
    </row>
    <row r="790" spans="1:3" x14ac:dyDescent="0.35">
      <c r="A790" s="261"/>
    </row>
    <row r="791" spans="1:3" ht="12.45" x14ac:dyDescent="0.3">
      <c r="C791" s="263"/>
    </row>
    <row r="792" spans="1:3" ht="12.45" x14ac:dyDescent="0.3">
      <c r="C792" s="263"/>
    </row>
    <row r="793" spans="1:3" ht="12.45" x14ac:dyDescent="0.3">
      <c r="C793" s="263"/>
    </row>
    <row r="795" spans="1:3" x14ac:dyDescent="0.35">
      <c r="A795" s="261"/>
    </row>
    <row r="796" spans="1:3" ht="12.45" x14ac:dyDescent="0.3">
      <c r="C796" s="263"/>
    </row>
    <row r="797" spans="1:3" ht="12.45" x14ac:dyDescent="0.3">
      <c r="C797" s="263"/>
    </row>
    <row r="798" spans="1:3" ht="12.45" x14ac:dyDescent="0.3">
      <c r="C798" s="263"/>
    </row>
    <row r="799" spans="1:3" x14ac:dyDescent="0.35">
      <c r="A799" s="262"/>
    </row>
    <row r="800" spans="1:3" x14ac:dyDescent="0.35">
      <c r="A800" s="261"/>
    </row>
    <row r="801" spans="1:3" ht="12.45" x14ac:dyDescent="0.3">
      <c r="C801" s="263"/>
    </row>
    <row r="802" spans="1:3" ht="12.45" x14ac:dyDescent="0.3">
      <c r="C802" s="263"/>
    </row>
    <row r="803" spans="1:3" ht="12.45" x14ac:dyDescent="0.3">
      <c r="C803" s="263"/>
    </row>
    <row r="805" spans="1:3" x14ac:dyDescent="0.35">
      <c r="A805" s="261"/>
    </row>
    <row r="806" spans="1:3" x14ac:dyDescent="0.35">
      <c r="A806" s="261"/>
    </row>
    <row r="807" spans="1:3" ht="12.45" x14ac:dyDescent="0.3">
      <c r="C807" s="263"/>
    </row>
    <row r="808" spans="1:3" ht="12.45" x14ac:dyDescent="0.3">
      <c r="C808" s="263"/>
    </row>
    <row r="809" spans="1:3" ht="12.45" x14ac:dyDescent="0.3">
      <c r="C809" s="263"/>
    </row>
    <row r="811" spans="1:3" x14ac:dyDescent="0.35">
      <c r="A811" s="261"/>
    </row>
    <row r="812" spans="1:3" ht="12.45" x14ac:dyDescent="0.3">
      <c r="C812" s="263"/>
    </row>
    <row r="813" spans="1:3" ht="12.45" x14ac:dyDescent="0.3">
      <c r="C813" s="263"/>
    </row>
    <row r="814" spans="1:3" ht="12.45" x14ac:dyDescent="0.3">
      <c r="C814" s="263"/>
    </row>
    <row r="815" spans="1:3" ht="12.45" x14ac:dyDescent="0.3">
      <c r="C815" s="263"/>
    </row>
    <row r="816" spans="1:3" x14ac:dyDescent="0.35">
      <c r="A816" s="261"/>
    </row>
    <row r="817" spans="1:3" ht="12.45" x14ac:dyDescent="0.3">
      <c r="C817" s="263"/>
    </row>
    <row r="818" spans="1:3" ht="12.45" x14ac:dyDescent="0.3">
      <c r="C818" s="263"/>
    </row>
    <row r="819" spans="1:3" ht="12.45" x14ac:dyDescent="0.3">
      <c r="C819" s="263"/>
    </row>
    <row r="820" spans="1:3" x14ac:dyDescent="0.35">
      <c r="A820" s="262"/>
    </row>
    <row r="821" spans="1:3" x14ac:dyDescent="0.35">
      <c r="A821" s="261"/>
    </row>
    <row r="822" spans="1:3" ht="12.45" x14ac:dyDescent="0.3">
      <c r="C822" s="263"/>
    </row>
    <row r="823" spans="1:3" ht="12.45" x14ac:dyDescent="0.3">
      <c r="C823" s="263"/>
    </row>
    <row r="824" spans="1:3" ht="12.45" x14ac:dyDescent="0.3">
      <c r="C824" s="263"/>
    </row>
    <row r="826" spans="1:3" x14ac:dyDescent="0.35">
      <c r="A826" s="261"/>
    </row>
    <row r="827" spans="1:3" ht="12.45" x14ac:dyDescent="0.3">
      <c r="C827" s="263"/>
    </row>
    <row r="828" spans="1:3" ht="12.45" x14ac:dyDescent="0.3">
      <c r="C828" s="263"/>
    </row>
    <row r="829" spans="1:3" ht="12.45" x14ac:dyDescent="0.3">
      <c r="C829" s="263"/>
    </row>
    <row r="830" spans="1:3" ht="12.45" x14ac:dyDescent="0.3">
      <c r="C830" s="263"/>
    </row>
    <row r="831" spans="1:3" x14ac:dyDescent="0.35">
      <c r="A831" s="261"/>
    </row>
    <row r="832" spans="1:3" ht="12.45" x14ac:dyDescent="0.3">
      <c r="C832" s="263"/>
    </row>
    <row r="833" spans="1:25" ht="12.45" x14ac:dyDescent="0.3">
      <c r="C833" s="263"/>
    </row>
    <row r="834" spans="1:25" x14ac:dyDescent="0.35">
      <c r="A834" s="261"/>
    </row>
    <row r="835" spans="1:25" ht="12.45" x14ac:dyDescent="0.3">
      <c r="C835" s="263"/>
    </row>
    <row r="836" spans="1:25" ht="12.45" x14ac:dyDescent="0.3">
      <c r="C836" s="263"/>
    </row>
    <row r="837" spans="1:25" ht="12.45" x14ac:dyDescent="0.3">
      <c r="C837" s="263"/>
    </row>
    <row r="838" spans="1:25" x14ac:dyDescent="0.35">
      <c r="A838" s="261"/>
    </row>
    <row r="839" spans="1:25" ht="12.45" x14ac:dyDescent="0.3">
      <c r="C839" s="263"/>
    </row>
    <row r="840" spans="1:25" ht="12.45" x14ac:dyDescent="0.3">
      <c r="C840" s="263"/>
    </row>
    <row r="841" spans="1:25" ht="12.45" x14ac:dyDescent="0.3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35">
      <c r="A842" s="262"/>
    </row>
    <row r="843" spans="1:25" x14ac:dyDescent="0.35">
      <c r="A843" s="261"/>
    </row>
    <row r="844" spans="1:25" ht="12.45" x14ac:dyDescent="0.3">
      <c r="C844" s="263"/>
    </row>
    <row r="845" spans="1:25" ht="12.45" x14ac:dyDescent="0.3">
      <c r="C845" s="263"/>
    </row>
    <row r="846" spans="1:25" ht="12.45" x14ac:dyDescent="0.3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35">
      <c r="A847" s="262"/>
    </row>
    <row r="848" spans="1:25" x14ac:dyDescent="0.35">
      <c r="A848" s="261"/>
    </row>
    <row r="849" spans="1:3" ht="12.45" x14ac:dyDescent="0.3">
      <c r="C849" s="263"/>
    </row>
    <row r="850" spans="1:3" ht="12.45" x14ac:dyDescent="0.3">
      <c r="C850" s="263"/>
    </row>
    <row r="851" spans="1:3" ht="12.45" x14ac:dyDescent="0.3">
      <c r="C851" s="263"/>
    </row>
    <row r="853" spans="1:3" x14ac:dyDescent="0.35">
      <c r="A853" s="261"/>
    </row>
    <row r="854" spans="1:3" ht="12.45" x14ac:dyDescent="0.3">
      <c r="C854" s="263"/>
    </row>
    <row r="855" spans="1:3" ht="12.45" x14ac:dyDescent="0.3">
      <c r="C855" s="263"/>
    </row>
    <row r="856" spans="1:3" ht="12.45" x14ac:dyDescent="0.3">
      <c r="C856" s="263"/>
    </row>
    <row r="857" spans="1:3" ht="12.45" x14ac:dyDescent="0.3">
      <c r="C857" s="263"/>
    </row>
    <row r="858" spans="1:3" x14ac:dyDescent="0.35">
      <c r="A858" s="261"/>
    </row>
    <row r="859" spans="1:3" ht="12.45" x14ac:dyDescent="0.3">
      <c r="C859" s="263"/>
    </row>
    <row r="860" spans="1:3" ht="12.45" x14ac:dyDescent="0.3">
      <c r="C860" s="263"/>
    </row>
    <row r="861" spans="1:3" ht="12.45" x14ac:dyDescent="0.3">
      <c r="C861" s="263"/>
    </row>
    <row r="862" spans="1:3" x14ac:dyDescent="0.35">
      <c r="A862" s="261"/>
    </row>
    <row r="863" spans="1:3" ht="12.45" x14ac:dyDescent="0.3">
      <c r="C863" s="263"/>
    </row>
    <row r="864" spans="1:3" ht="12.45" x14ac:dyDescent="0.3">
      <c r="C864" s="263"/>
    </row>
    <row r="865" spans="1:3" ht="12.45" x14ac:dyDescent="0.3">
      <c r="C865" s="263"/>
    </row>
    <row r="867" spans="1:3" x14ac:dyDescent="0.35">
      <c r="A867" s="261"/>
    </row>
    <row r="868" spans="1:3" ht="12.45" x14ac:dyDescent="0.3">
      <c r="C868" s="263"/>
    </row>
    <row r="869" spans="1:3" ht="12.45" x14ac:dyDescent="0.3">
      <c r="C869" s="263"/>
    </row>
    <row r="870" spans="1:3" ht="12.45" x14ac:dyDescent="0.3">
      <c r="C870" s="263"/>
    </row>
    <row r="871" spans="1:3" ht="12.45" x14ac:dyDescent="0.3">
      <c r="C871" s="263"/>
    </row>
    <row r="872" spans="1:3" x14ac:dyDescent="0.35">
      <c r="A872" s="261"/>
    </row>
    <row r="873" spans="1:3" ht="12.45" x14ac:dyDescent="0.3">
      <c r="C873" s="263"/>
    </row>
    <row r="874" spans="1:3" ht="12.45" x14ac:dyDescent="0.3">
      <c r="C874" s="263"/>
    </row>
    <row r="875" spans="1:3" ht="12.45" x14ac:dyDescent="0.3">
      <c r="C875" s="263"/>
    </row>
    <row r="876" spans="1:3" x14ac:dyDescent="0.35">
      <c r="A876" s="262"/>
    </row>
    <row r="877" spans="1:3" x14ac:dyDescent="0.35">
      <c r="A877" s="261"/>
    </row>
    <row r="878" spans="1:3" ht="12.45" x14ac:dyDescent="0.3">
      <c r="C878" s="263"/>
    </row>
    <row r="879" spans="1:3" ht="12.45" x14ac:dyDescent="0.3">
      <c r="C879" s="263"/>
    </row>
    <row r="880" spans="1:3" ht="12.45" x14ac:dyDescent="0.3">
      <c r="C880" s="263"/>
    </row>
    <row r="882" spans="1:3" x14ac:dyDescent="0.35">
      <c r="A882" s="261"/>
    </row>
    <row r="883" spans="1:3" ht="12.45" x14ac:dyDescent="0.3">
      <c r="C883" s="263"/>
    </row>
    <row r="884" spans="1:3" ht="12.45" x14ac:dyDescent="0.3">
      <c r="C884" s="263"/>
    </row>
    <row r="885" spans="1:3" ht="12.45" x14ac:dyDescent="0.3">
      <c r="C885" s="263"/>
    </row>
    <row r="886" spans="1:3" ht="12.45" x14ac:dyDescent="0.3">
      <c r="C886" s="263"/>
    </row>
    <row r="887" spans="1:3" x14ac:dyDescent="0.35">
      <c r="A887" s="261"/>
    </row>
    <row r="888" spans="1:3" ht="12.45" x14ac:dyDescent="0.3">
      <c r="C888" s="263"/>
    </row>
    <row r="889" spans="1:3" ht="12.45" x14ac:dyDescent="0.3">
      <c r="C889" s="263"/>
    </row>
    <row r="890" spans="1:3" x14ac:dyDescent="0.35">
      <c r="A890" s="261"/>
    </row>
    <row r="891" spans="1:3" ht="12.45" x14ac:dyDescent="0.3">
      <c r="C891" s="263"/>
    </row>
    <row r="892" spans="1:3" ht="12.45" x14ac:dyDescent="0.3">
      <c r="C892" s="263"/>
    </row>
    <row r="893" spans="1:3" ht="12.45" x14ac:dyDescent="0.3">
      <c r="C893" s="263"/>
    </row>
    <row r="894" spans="1:3" ht="12.45" x14ac:dyDescent="0.3">
      <c r="C894" s="263"/>
    </row>
    <row r="895" spans="1:3" ht="12.45" x14ac:dyDescent="0.3">
      <c r="C895" s="263"/>
    </row>
    <row r="896" spans="1:3" ht="12.45" x14ac:dyDescent="0.3">
      <c r="C896" s="263"/>
    </row>
    <row r="897" spans="1:3" ht="12.45" x14ac:dyDescent="0.3">
      <c r="A897" s="261"/>
      <c r="C897" s="263"/>
    </row>
    <row r="898" spans="1:3" ht="12.45" x14ac:dyDescent="0.3">
      <c r="C898" s="263"/>
    </row>
    <row r="899" spans="1:3" ht="12.45" x14ac:dyDescent="0.3">
      <c r="C899" s="263"/>
    </row>
    <row r="900" spans="1:3" ht="12.45" x14ac:dyDescent="0.3">
      <c r="C900" s="263"/>
    </row>
    <row r="901" spans="1:3" x14ac:dyDescent="0.35">
      <c r="A901" s="262"/>
    </row>
    <row r="902" spans="1:3" x14ac:dyDescent="0.35">
      <c r="A902" s="261"/>
    </row>
    <row r="903" spans="1:3" ht="12.45" x14ac:dyDescent="0.3">
      <c r="C903" s="263"/>
    </row>
    <row r="904" spans="1:3" ht="12.45" x14ac:dyDescent="0.3">
      <c r="C904" s="263"/>
    </row>
    <row r="905" spans="1:3" ht="12.45" x14ac:dyDescent="0.3">
      <c r="C905" s="263"/>
    </row>
    <row r="907" spans="1:3" x14ac:dyDescent="0.35">
      <c r="A907" s="261"/>
    </row>
    <row r="908" spans="1:3" ht="12.45" x14ac:dyDescent="0.3">
      <c r="C908" s="263"/>
    </row>
    <row r="909" spans="1:3" ht="12.45" x14ac:dyDescent="0.3">
      <c r="C909" s="263"/>
    </row>
    <row r="910" spans="1:3" ht="12.45" x14ac:dyDescent="0.3">
      <c r="C910" s="263"/>
    </row>
    <row r="911" spans="1:3" x14ac:dyDescent="0.35">
      <c r="A911" s="262"/>
    </row>
    <row r="912" spans="1:3" x14ac:dyDescent="0.35">
      <c r="A912" s="261"/>
    </row>
    <row r="913" spans="1:3" ht="12.45" x14ac:dyDescent="0.3">
      <c r="C913" s="263"/>
    </row>
    <row r="914" spans="1:3" ht="12.45" x14ac:dyDescent="0.3">
      <c r="C914" s="263"/>
    </row>
    <row r="915" spans="1:3" ht="12.45" x14ac:dyDescent="0.3">
      <c r="C915" s="263"/>
    </row>
    <row r="917" spans="1:3" x14ac:dyDescent="0.35">
      <c r="A917" s="261"/>
    </row>
    <row r="918" spans="1:3" x14ac:dyDescent="0.35">
      <c r="A918" s="261"/>
    </row>
    <row r="919" spans="1:3" ht="12.45" x14ac:dyDescent="0.3">
      <c r="C919" s="263"/>
    </row>
    <row r="920" spans="1:3" ht="12.45" x14ac:dyDescent="0.3">
      <c r="C920" s="263"/>
    </row>
    <row r="921" spans="1:3" ht="12.45" x14ac:dyDescent="0.3">
      <c r="C921" s="263"/>
    </row>
    <row r="923" spans="1:3" x14ac:dyDescent="0.35">
      <c r="A923" s="261"/>
    </row>
    <row r="924" spans="1:3" ht="12.45" x14ac:dyDescent="0.3">
      <c r="C924" s="263"/>
    </row>
    <row r="925" spans="1:3" ht="12.45" x14ac:dyDescent="0.3">
      <c r="C925" s="263"/>
    </row>
    <row r="926" spans="1:3" ht="12.45" x14ac:dyDescent="0.3">
      <c r="C926" s="263"/>
    </row>
    <row r="927" spans="1:3" ht="12.45" x14ac:dyDescent="0.3">
      <c r="C927" s="263"/>
    </row>
    <row r="928" spans="1:3" x14ac:dyDescent="0.35">
      <c r="A928" s="261"/>
    </row>
    <row r="929" spans="1:3" ht="12.45" x14ac:dyDescent="0.3">
      <c r="C929" s="263"/>
    </row>
    <row r="930" spans="1:3" ht="12.45" x14ac:dyDescent="0.3">
      <c r="C930" s="263"/>
    </row>
    <row r="931" spans="1:3" ht="12.45" x14ac:dyDescent="0.3">
      <c r="C931" s="263"/>
    </row>
    <row r="932" spans="1:3" x14ac:dyDescent="0.35">
      <c r="A932" s="262"/>
    </row>
    <row r="933" spans="1:3" x14ac:dyDescent="0.35">
      <c r="A933" s="261"/>
    </row>
    <row r="934" spans="1:3" ht="12.45" x14ac:dyDescent="0.3">
      <c r="C934" s="263"/>
    </row>
    <row r="935" spans="1:3" ht="12.45" x14ac:dyDescent="0.3">
      <c r="C935" s="263"/>
    </row>
    <row r="936" spans="1:3" ht="12.45" x14ac:dyDescent="0.3">
      <c r="C936" s="263"/>
    </row>
    <row r="938" spans="1:3" x14ac:dyDescent="0.35">
      <c r="A938" s="261"/>
    </row>
    <row r="939" spans="1:3" ht="12.45" x14ac:dyDescent="0.3">
      <c r="C939" s="263"/>
    </row>
    <row r="940" spans="1:3" ht="12.45" x14ac:dyDescent="0.3">
      <c r="C940" s="263"/>
    </row>
    <row r="941" spans="1:3" ht="12.45" x14ac:dyDescent="0.3">
      <c r="C941" s="263"/>
    </row>
    <row r="942" spans="1:3" ht="12.45" x14ac:dyDescent="0.3">
      <c r="C942" s="263"/>
    </row>
    <row r="943" spans="1:3" x14ac:dyDescent="0.35">
      <c r="A943" s="261"/>
    </row>
    <row r="944" spans="1:3" ht="12.45" x14ac:dyDescent="0.3">
      <c r="C944" s="263"/>
    </row>
    <row r="945" spans="1:3" ht="12.45" x14ac:dyDescent="0.3">
      <c r="C945" s="263"/>
    </row>
    <row r="946" spans="1:3" x14ac:dyDescent="0.35">
      <c r="A946" s="261"/>
    </row>
    <row r="947" spans="1:3" ht="12.45" x14ac:dyDescent="0.3">
      <c r="C947" s="263"/>
    </row>
    <row r="948" spans="1:3" ht="12.45" x14ac:dyDescent="0.3">
      <c r="C948" s="263"/>
    </row>
    <row r="949" spans="1:3" ht="12.45" x14ac:dyDescent="0.3">
      <c r="C949" s="263"/>
    </row>
    <row r="950" spans="1:3" ht="12.45" x14ac:dyDescent="0.3">
      <c r="C950" s="263"/>
    </row>
    <row r="952" spans="1:3" x14ac:dyDescent="0.35">
      <c r="A952" s="261"/>
    </row>
    <row r="953" spans="1:3" ht="12.45" x14ac:dyDescent="0.3">
      <c r="C953" s="263"/>
    </row>
    <row r="954" spans="1:3" ht="12.45" x14ac:dyDescent="0.3">
      <c r="C954" s="263"/>
    </row>
    <row r="955" spans="1:3" ht="12.45" x14ac:dyDescent="0.3">
      <c r="C955" s="263"/>
    </row>
    <row r="956" spans="1:3" x14ac:dyDescent="0.35">
      <c r="A956" s="262"/>
    </row>
    <row r="957" spans="1:3" x14ac:dyDescent="0.35">
      <c r="A957" s="261"/>
    </row>
    <row r="958" spans="1:3" ht="12.45" x14ac:dyDescent="0.3">
      <c r="C958" s="263"/>
    </row>
    <row r="959" spans="1:3" ht="12.45" x14ac:dyDescent="0.3">
      <c r="C959" s="263"/>
    </row>
    <row r="960" spans="1:3" ht="12.45" x14ac:dyDescent="0.3">
      <c r="C960" s="263"/>
    </row>
    <row r="962" spans="1:3" x14ac:dyDescent="0.35">
      <c r="A962" s="261"/>
    </row>
    <row r="963" spans="1:3" ht="12.45" x14ac:dyDescent="0.3">
      <c r="C963" s="263"/>
    </row>
    <row r="964" spans="1:3" ht="12.45" x14ac:dyDescent="0.3">
      <c r="C964" s="263"/>
    </row>
    <row r="965" spans="1:3" ht="12.45" x14ac:dyDescent="0.3">
      <c r="C965" s="263"/>
    </row>
    <row r="967" spans="1:3" x14ac:dyDescent="0.35">
      <c r="A967" s="261"/>
    </row>
    <row r="968" spans="1:3" ht="12.45" x14ac:dyDescent="0.3">
      <c r="C968" s="263"/>
    </row>
    <row r="969" spans="1:3" ht="12.45" x14ac:dyDescent="0.3">
      <c r="C969" s="263"/>
    </row>
    <row r="970" spans="1:3" ht="12.45" x14ac:dyDescent="0.3">
      <c r="C970" s="263"/>
    </row>
    <row r="971" spans="1:3" ht="12.45" x14ac:dyDescent="0.3">
      <c r="C971" s="263"/>
    </row>
    <row r="972" spans="1:3" x14ac:dyDescent="0.35">
      <c r="A972" s="261"/>
    </row>
    <row r="973" spans="1:3" ht="12.45" x14ac:dyDescent="0.3">
      <c r="C973" s="263"/>
    </row>
    <row r="974" spans="1:3" x14ac:dyDescent="0.35">
      <c r="A974" s="261"/>
    </row>
    <row r="975" spans="1:3" ht="12.45" x14ac:dyDescent="0.3">
      <c r="C975" s="263"/>
    </row>
    <row r="976" spans="1:3" ht="12.45" x14ac:dyDescent="0.3">
      <c r="C976" s="263"/>
    </row>
    <row r="977" spans="1:3" ht="12.45" x14ac:dyDescent="0.3">
      <c r="C977" s="263"/>
    </row>
    <row r="979" spans="1:3" x14ac:dyDescent="0.35">
      <c r="A979" s="261"/>
    </row>
    <row r="980" spans="1:3" ht="12.45" x14ac:dyDescent="0.3">
      <c r="C980" s="263"/>
    </row>
    <row r="981" spans="1:3" ht="12.45" x14ac:dyDescent="0.3">
      <c r="C981" s="263"/>
    </row>
    <row r="982" spans="1:3" ht="12.45" x14ac:dyDescent="0.3">
      <c r="C982" s="263"/>
    </row>
    <row r="983" spans="1:3" ht="12.45" x14ac:dyDescent="0.3">
      <c r="C983" s="263"/>
    </row>
    <row r="984" spans="1:3" x14ac:dyDescent="0.35">
      <c r="A984" s="261"/>
    </row>
    <row r="985" spans="1:3" ht="12.45" x14ac:dyDescent="0.3">
      <c r="C985" s="263"/>
    </row>
    <row r="986" spans="1:3" ht="12.45" x14ac:dyDescent="0.3">
      <c r="C986" s="263"/>
    </row>
    <row r="987" spans="1:3" ht="12.45" x14ac:dyDescent="0.3">
      <c r="C987" s="263"/>
    </row>
    <row r="988" spans="1:3" x14ac:dyDescent="0.35">
      <c r="A988" s="262"/>
    </row>
    <row r="989" spans="1:3" x14ac:dyDescent="0.35">
      <c r="A989" s="261"/>
    </row>
    <row r="990" spans="1:3" ht="12.45" x14ac:dyDescent="0.3">
      <c r="C990" s="263"/>
    </row>
    <row r="991" spans="1:3" ht="12.45" x14ac:dyDescent="0.3">
      <c r="C991" s="263"/>
    </row>
    <row r="992" spans="1:3" ht="12.45" x14ac:dyDescent="0.3">
      <c r="C992" s="263"/>
    </row>
    <row r="994" spans="1:3" x14ac:dyDescent="0.35">
      <c r="A994" s="261"/>
    </row>
    <row r="995" spans="1:3" ht="12.45" x14ac:dyDescent="0.3">
      <c r="C995" s="263"/>
    </row>
    <row r="996" spans="1:3" ht="12.45" x14ac:dyDescent="0.3">
      <c r="C996" s="263"/>
    </row>
    <row r="997" spans="1:3" ht="12.45" x14ac:dyDescent="0.3">
      <c r="C997" s="263"/>
    </row>
    <row r="998" spans="1:3" ht="12.45" x14ac:dyDescent="0.3">
      <c r="C998" s="263"/>
    </row>
    <row r="999" spans="1:3" x14ac:dyDescent="0.35">
      <c r="A999" s="261"/>
    </row>
    <row r="1000" spans="1:3" ht="12.45" x14ac:dyDescent="0.3">
      <c r="C1000" s="263"/>
    </row>
    <row r="1001" spans="1:3" ht="12.45" x14ac:dyDescent="0.3">
      <c r="C1001" s="263"/>
    </row>
    <row r="1002" spans="1:3" x14ac:dyDescent="0.35">
      <c r="A1002" s="261"/>
    </row>
    <row r="1003" spans="1:3" ht="12.45" x14ac:dyDescent="0.3">
      <c r="C1003" s="263"/>
    </row>
    <row r="1004" spans="1:3" ht="12.45" x14ac:dyDescent="0.3">
      <c r="C1004" s="263"/>
    </row>
    <row r="1005" spans="1:3" ht="12.45" x14ac:dyDescent="0.3">
      <c r="C1005" s="263"/>
    </row>
    <row r="1006" spans="1:3" ht="12.45" x14ac:dyDescent="0.3">
      <c r="C1006" s="263"/>
    </row>
    <row r="1007" spans="1:3" ht="12.45" x14ac:dyDescent="0.3">
      <c r="C1007" s="263"/>
    </row>
    <row r="1008" spans="1:3" ht="12.45" x14ac:dyDescent="0.3">
      <c r="C1008" s="263"/>
    </row>
    <row r="1009" spans="1:3" ht="12.45" x14ac:dyDescent="0.3">
      <c r="A1009" s="261"/>
      <c r="C1009" s="263"/>
    </row>
    <row r="1010" spans="1:3" ht="12.45" x14ac:dyDescent="0.3">
      <c r="C1010" s="263"/>
    </row>
    <row r="1011" spans="1:3" ht="12.45" x14ac:dyDescent="0.3">
      <c r="C1011" s="263"/>
    </row>
    <row r="1012" spans="1:3" ht="12.45" x14ac:dyDescent="0.3">
      <c r="C1012" s="263"/>
    </row>
    <row r="1013" spans="1:3" x14ac:dyDescent="0.35">
      <c r="A1013" s="262"/>
    </row>
    <row r="1014" spans="1:3" x14ac:dyDescent="0.35">
      <c r="A1014" s="261"/>
    </row>
    <row r="1015" spans="1:3" ht="12.45" x14ac:dyDescent="0.3">
      <c r="C1015" s="263"/>
    </row>
    <row r="1016" spans="1:3" ht="12.45" x14ac:dyDescent="0.3">
      <c r="C1016" s="263"/>
    </row>
    <row r="1017" spans="1:3" ht="12.45" x14ac:dyDescent="0.3">
      <c r="C1017" s="263"/>
    </row>
    <row r="1019" spans="1:3" x14ac:dyDescent="0.35">
      <c r="A1019" s="261"/>
    </row>
    <row r="1020" spans="1:3" ht="12.45" x14ac:dyDescent="0.3">
      <c r="C1020" s="263"/>
    </row>
    <row r="1021" spans="1:3" ht="12.45" x14ac:dyDescent="0.3">
      <c r="C1021" s="263"/>
    </row>
    <row r="1022" spans="1:3" ht="12.45" x14ac:dyDescent="0.3">
      <c r="C1022" s="263"/>
    </row>
    <row r="1023" spans="1:3" x14ac:dyDescent="0.35">
      <c r="A1023" s="262"/>
    </row>
    <row r="1024" spans="1:3" x14ac:dyDescent="0.35">
      <c r="A1024" s="261"/>
    </row>
    <row r="1025" spans="1:3" ht="12.45" x14ac:dyDescent="0.3">
      <c r="C1025" s="263"/>
    </row>
    <row r="1026" spans="1:3" ht="12.45" x14ac:dyDescent="0.3">
      <c r="C1026" s="263"/>
    </row>
    <row r="1027" spans="1:3" ht="12.45" x14ac:dyDescent="0.3">
      <c r="C1027" s="263"/>
    </row>
    <row r="1029" spans="1:3" x14ac:dyDescent="0.35">
      <c r="A1029" s="261"/>
    </row>
    <row r="1030" spans="1:3" x14ac:dyDescent="0.35">
      <c r="A1030" s="261"/>
    </row>
    <row r="1031" spans="1:3" ht="12.45" x14ac:dyDescent="0.3">
      <c r="C1031" s="263"/>
    </row>
    <row r="1032" spans="1:3" ht="12.45" x14ac:dyDescent="0.3">
      <c r="C1032" s="263"/>
    </row>
    <row r="1033" spans="1:3" ht="12.45" x14ac:dyDescent="0.3">
      <c r="C1033" s="263"/>
    </row>
    <row r="1035" spans="1:3" x14ac:dyDescent="0.35">
      <c r="A1035" s="261"/>
    </row>
    <row r="1036" spans="1:3" ht="12.45" x14ac:dyDescent="0.3">
      <c r="C1036" s="263"/>
    </row>
    <row r="1037" spans="1:3" ht="12.45" x14ac:dyDescent="0.3">
      <c r="C1037" s="263"/>
    </row>
    <row r="1038" spans="1:3" ht="12.45" x14ac:dyDescent="0.3">
      <c r="C1038" s="263"/>
    </row>
    <row r="1039" spans="1:3" ht="12.45" x14ac:dyDescent="0.3">
      <c r="C1039" s="263"/>
    </row>
    <row r="1040" spans="1:3" x14ac:dyDescent="0.35">
      <c r="A1040" s="261"/>
    </row>
    <row r="1041" spans="1:3" ht="12.45" x14ac:dyDescent="0.3">
      <c r="C1041" s="263"/>
    </row>
    <row r="1042" spans="1:3" ht="12.45" x14ac:dyDescent="0.3">
      <c r="C1042" s="263"/>
    </row>
    <row r="1043" spans="1:3" ht="12.45" x14ac:dyDescent="0.3">
      <c r="C1043" s="263"/>
    </row>
    <row r="1044" spans="1:3" x14ac:dyDescent="0.35">
      <c r="A1044" s="262"/>
    </row>
    <row r="1045" spans="1:3" x14ac:dyDescent="0.35">
      <c r="A1045" s="261"/>
    </row>
    <row r="1046" spans="1:3" ht="12.45" x14ac:dyDescent="0.3">
      <c r="C1046" s="263"/>
    </row>
    <row r="1047" spans="1:3" ht="12.45" x14ac:dyDescent="0.3">
      <c r="C1047" s="263"/>
    </row>
    <row r="1048" spans="1:3" ht="12.45" x14ac:dyDescent="0.3">
      <c r="C1048" s="263"/>
    </row>
    <row r="1050" spans="1:3" x14ac:dyDescent="0.35">
      <c r="A1050" s="261"/>
    </row>
    <row r="1051" spans="1:3" ht="12.45" x14ac:dyDescent="0.3">
      <c r="C1051" s="263"/>
    </row>
    <row r="1052" spans="1:3" ht="12.45" x14ac:dyDescent="0.3">
      <c r="C1052" s="263"/>
    </row>
    <row r="1053" spans="1:3" ht="12.45" x14ac:dyDescent="0.3">
      <c r="C1053" s="263"/>
    </row>
    <row r="1054" spans="1:3" ht="12.45" x14ac:dyDescent="0.3">
      <c r="C1054" s="263"/>
    </row>
    <row r="1055" spans="1:3" x14ac:dyDescent="0.35">
      <c r="A1055" s="261"/>
    </row>
    <row r="1056" spans="1:3" ht="12.45" x14ac:dyDescent="0.3">
      <c r="C1056" s="263"/>
    </row>
    <row r="1057" spans="1:3" ht="12.45" x14ac:dyDescent="0.3">
      <c r="C1057" s="263"/>
    </row>
    <row r="1058" spans="1:3" x14ac:dyDescent="0.35">
      <c r="A1058" s="261"/>
    </row>
    <row r="1059" spans="1:3" ht="12.45" x14ac:dyDescent="0.3">
      <c r="C1059" s="263"/>
    </row>
    <row r="1060" spans="1:3" ht="12.45" x14ac:dyDescent="0.3">
      <c r="C1060" s="263"/>
    </row>
    <row r="1061" spans="1:3" ht="12.45" x14ac:dyDescent="0.3">
      <c r="C1061" s="263"/>
    </row>
  </sheetData>
  <mergeCells count="110"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45" x14ac:dyDescent="0.3"/>
  <cols>
    <col min="1" max="1" width="11" style="80" bestFit="1" customWidth="1"/>
    <col min="2" max="9" width="9.15234375" style="80"/>
    <col min="10" max="10" width="17.53515625" style="80" customWidth="1"/>
    <col min="11" max="11" width="8.3046875" style="80" customWidth="1"/>
    <col min="12" max="12" width="28.15234375" customWidth="1"/>
    <col min="13" max="14" width="10.15234375" customWidth="1"/>
  </cols>
  <sheetData>
    <row r="1" spans="1:16" ht="15.45" x14ac:dyDescent="0.4">
      <c r="A1" s="79" t="str">
        <f>CONCATENATE("Industry Figure 1  Growth in Employment by Industry Group (SIC 2007), ",M6," and ",N6,", ",Info!B5)</f>
        <v>Industry Figure 1  Growth in Employment by Industry Group (SIC 2007), 2015-2020 and 2020-2035, England</v>
      </c>
    </row>
    <row r="2" spans="1:16" x14ac:dyDescent="0.3">
      <c r="A2" s="181" t="s">
        <v>532</v>
      </c>
    </row>
    <row r="3" spans="1:16" x14ac:dyDescent="0.3">
      <c r="L3" s="45" t="s">
        <v>449</v>
      </c>
    </row>
    <row r="5" spans="1:16" ht="12.9" x14ac:dyDescent="0.35">
      <c r="L5" s="29" t="s">
        <v>418</v>
      </c>
    </row>
    <row r="6" spans="1:16" x14ac:dyDescent="0.3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3">
      <c r="L7" s="1" t="str">
        <f>'Ind T4'!A83</f>
        <v>All industries</v>
      </c>
      <c r="M7">
        <f>'Ind T4'!B122</f>
        <v>0.82619957207423766</v>
      </c>
      <c r="N7">
        <f>'Ind T4'!C122</f>
        <v>0.477233431154378</v>
      </c>
    </row>
    <row r="8" spans="1:16" x14ac:dyDescent="0.3">
      <c r="L8" s="13"/>
    </row>
    <row r="9" spans="1:16" x14ac:dyDescent="0.3">
      <c r="L9" s="13" t="str">
        <f>'Ind T4'!A81</f>
        <v>Health and social work</v>
      </c>
      <c r="M9">
        <f>'Ind T4'!B120</f>
        <v>0.9984100828068998</v>
      </c>
      <c r="N9">
        <f>'Ind T4'!C120</f>
        <v>0.84698959766382753</v>
      </c>
    </row>
    <row r="10" spans="1:16" x14ac:dyDescent="0.3">
      <c r="L10" s="13" t="str">
        <f>'Ind T4'!A80</f>
        <v>Education</v>
      </c>
      <c r="M10">
        <f>'Ind T4'!B119</f>
        <v>3.5301081927907596E-2</v>
      </c>
      <c r="N10">
        <f>'Ind T4'!C119</f>
        <v>0.26227504847629035</v>
      </c>
    </row>
    <row r="11" spans="1:16" x14ac:dyDescent="0.3">
      <c r="L11" s="13" t="str">
        <f>'Ind T4'!A79</f>
        <v>Public admin. and defence</v>
      </c>
      <c r="M11">
        <f>'Ind T4'!B118</f>
        <v>1.0388823568214356</v>
      </c>
      <c r="N11">
        <f>'Ind T4'!C118</f>
        <v>0.30442578158225153</v>
      </c>
    </row>
    <row r="12" spans="1:16" x14ac:dyDescent="0.3">
      <c r="L12" s="1" t="str">
        <f>CONCATENATE("[",'Ind T4'!A78,"]")</f>
        <v>[Non-marketed services]</v>
      </c>
      <c r="M12">
        <f>'Ind T4'!B117</f>
        <v>0.66346128521379555</v>
      </c>
      <c r="N12">
        <f>'Ind T4'!C117</f>
        <v>0.56712980168480698</v>
      </c>
    </row>
    <row r="13" spans="1:16" x14ac:dyDescent="0.3">
      <c r="L13" s="13"/>
    </row>
    <row r="14" spans="1:16" x14ac:dyDescent="0.3">
      <c r="L14" s="13" t="str">
        <f>'Ind T4'!A76</f>
        <v>Other services</v>
      </c>
      <c r="M14" s="82">
        <f>'Ind T4'!B115</f>
        <v>0.49498804029632915</v>
      </c>
      <c r="N14" s="82">
        <f>'Ind T4'!C115</f>
        <v>-1.7441336747303637E-3</v>
      </c>
    </row>
    <row r="15" spans="1:16" x14ac:dyDescent="0.3">
      <c r="L15" s="13" t="str">
        <f>'Ind T4'!A75</f>
        <v>Arts and entertainment</v>
      </c>
      <c r="M15" s="82">
        <f>'Ind T4'!B114</f>
        <v>0.68578943587789265</v>
      </c>
      <c r="N15" s="82">
        <f>'Ind T4'!C114</f>
        <v>0.68216606566100513</v>
      </c>
    </row>
    <row r="16" spans="1:16" x14ac:dyDescent="0.3">
      <c r="L16" s="13" t="str">
        <f>'Ind T4'!A74</f>
        <v>Support services</v>
      </c>
      <c r="M16" s="82">
        <f>'Ind T4'!B113</f>
        <v>-0.13672576930433555</v>
      </c>
      <c r="N16" s="82">
        <f>'Ind T4'!C113</f>
        <v>0.83342781409669886</v>
      </c>
    </row>
    <row r="17" spans="12:14" x14ac:dyDescent="0.3">
      <c r="L17" s="13" t="str">
        <f>'Ind T4'!A73</f>
        <v>Professional services</v>
      </c>
      <c r="M17" s="82">
        <f>'Ind T4'!B112</f>
        <v>1.4832503936212715</v>
      </c>
      <c r="N17" s="82">
        <f>'Ind T4'!C112</f>
        <v>0.75154407970337012</v>
      </c>
    </row>
    <row r="18" spans="12:14" x14ac:dyDescent="0.3">
      <c r="L18" s="13" t="str">
        <f>'Ind T4'!A72</f>
        <v>Real estate</v>
      </c>
      <c r="M18" s="82">
        <f>'Ind T4'!B111</f>
        <v>2.52573588939633</v>
      </c>
      <c r="N18" s="82">
        <f>'Ind T4'!C111</f>
        <v>0.36479081286955317</v>
      </c>
    </row>
    <row r="19" spans="12:14" x14ac:dyDescent="0.3">
      <c r="L19" t="str">
        <f>'Ind T4'!A71</f>
        <v>Finance and insurance</v>
      </c>
      <c r="M19">
        <f>'Ind T4'!B110</f>
        <v>0.62634354624531152</v>
      </c>
      <c r="N19">
        <f>'Ind T4'!C110</f>
        <v>-0.1568083387042507</v>
      </c>
    </row>
    <row r="20" spans="12:14" x14ac:dyDescent="0.3">
      <c r="L20" t="str">
        <f>'Ind T4'!A70</f>
        <v>Information technology</v>
      </c>
      <c r="M20">
        <f>'Ind T4'!B109</f>
        <v>1.3563142447170939</v>
      </c>
      <c r="N20">
        <f>'Ind T4'!C109</f>
        <v>0.99807042338080354</v>
      </c>
    </row>
    <row r="21" spans="12:14" x14ac:dyDescent="0.3">
      <c r="L21" t="str">
        <f>'Ind T4'!A69</f>
        <v>Media</v>
      </c>
      <c r="M21">
        <f>'Ind T4'!B108</f>
        <v>0.52053197282926345</v>
      </c>
      <c r="N21">
        <f>'Ind T4'!C108</f>
        <v>0.15606589051742059</v>
      </c>
    </row>
    <row r="22" spans="12:14" x14ac:dyDescent="0.3">
      <c r="L22" s="1" t="str">
        <f>CONCATENATE("[",'Ind T4'!A68,"]")</f>
        <v>[Business and other services]</v>
      </c>
      <c r="M22">
        <f>'Ind T4'!B107</f>
        <v>0.83299606432620799</v>
      </c>
      <c r="N22">
        <f>'Ind T4'!C107</f>
        <v>0.60031664769235604</v>
      </c>
    </row>
    <row r="23" spans="12:14" x14ac:dyDescent="0.3">
      <c r="L23" s="13"/>
    </row>
    <row r="24" spans="12:14" x14ac:dyDescent="0.3">
      <c r="L24" s="13" t="str">
        <f>'Ind T4'!A66</f>
        <v>Accommodation and food</v>
      </c>
      <c r="M24">
        <f>'Ind T4'!B105</f>
        <v>1.5713701741797648</v>
      </c>
      <c r="N24">
        <f>'Ind T4'!C105</f>
        <v>1.2174819600557552</v>
      </c>
    </row>
    <row r="25" spans="12:14" x14ac:dyDescent="0.3">
      <c r="L25" s="13" t="str">
        <f>'Ind T4'!A65</f>
        <v>Transport and storage</v>
      </c>
      <c r="M25">
        <f>'Ind T4'!B104</f>
        <v>2.4897454361841653</v>
      </c>
      <c r="N25">
        <f>'Ind T4'!C104</f>
        <v>0.55958773788067351</v>
      </c>
    </row>
    <row r="26" spans="12:14" x14ac:dyDescent="0.3">
      <c r="L26" s="13" t="str">
        <f>'Ind T4'!A64</f>
        <v>Wholesale and retail trade</v>
      </c>
      <c r="M26">
        <f>'Ind T4'!B103</f>
        <v>8.2917327365517046E-2</v>
      </c>
      <c r="N26">
        <f>'Ind T4'!C103</f>
        <v>0.10693761094249243</v>
      </c>
    </row>
    <row r="27" spans="12:14" x14ac:dyDescent="0.3">
      <c r="L27" s="1" t="str">
        <f>CONCATENATE("[",'Ind T4'!A63,"]")</f>
        <v>[Trade, accomod. and transport]</v>
      </c>
      <c r="M27">
        <f>'Ind T4'!B102</f>
        <v>0.92222477881374054</v>
      </c>
      <c r="N27">
        <f>'Ind T4'!C102</f>
        <v>0.50021003036864187</v>
      </c>
    </row>
    <row r="28" spans="12:14" x14ac:dyDescent="0.3">
      <c r="L28" s="13"/>
    </row>
    <row r="29" spans="12:14" x14ac:dyDescent="0.3">
      <c r="L29" s="1" t="str">
        <f>CONCATENATE("[",'Ind T4'!A61,"]")</f>
        <v>[Construction]</v>
      </c>
      <c r="M29">
        <f>'Ind T4'!B100</f>
        <v>2.1234584778621501</v>
      </c>
      <c r="N29">
        <f>'Ind T4'!C100</f>
        <v>0.794722474715015</v>
      </c>
    </row>
    <row r="30" spans="12:14" x14ac:dyDescent="0.3">
      <c r="L30" s="13"/>
    </row>
    <row r="31" spans="12:14" x14ac:dyDescent="0.3">
      <c r="L31" s="13" t="str">
        <f>'Ind T4'!A59</f>
        <v>Rest of manufacturing</v>
      </c>
      <c r="M31">
        <f>'Ind T4'!B98</f>
        <v>-0.11961343862384455</v>
      </c>
      <c r="N31">
        <f>'Ind T4'!C98</f>
        <v>-0.99524754169800778</v>
      </c>
    </row>
    <row r="32" spans="12:14" x14ac:dyDescent="0.3">
      <c r="L32" s="13" t="str">
        <f>'Ind T4'!A58</f>
        <v>Engineering</v>
      </c>
      <c r="M32">
        <f>'Ind T4'!B97</f>
        <v>-0.51864643088095352</v>
      </c>
      <c r="N32">
        <f>'Ind T4'!C97</f>
        <v>-0.70483169273352075</v>
      </c>
    </row>
    <row r="33" spans="12:14" x14ac:dyDescent="0.3">
      <c r="L33" s="13" t="str">
        <f>'Ind T4'!A57</f>
        <v>Food drink and tobacco</v>
      </c>
      <c r="M33">
        <f>'Ind T4'!B96</f>
        <v>1.6213182094447998</v>
      </c>
      <c r="N33">
        <f>'Ind T4'!C96</f>
        <v>-9.5303695488824225E-2</v>
      </c>
    </row>
    <row r="34" spans="12:14" x14ac:dyDescent="0.3">
      <c r="L34" s="1" t="str">
        <f>CONCATENATE("[",'Ind T4'!A56,"]")</f>
        <v>[Manufacturing]</v>
      </c>
      <c r="M34">
        <f>'Ind T4'!B95</f>
        <v>9.7804441518012375E-2</v>
      </c>
      <c r="N34">
        <f>'Ind T4'!C95</f>
        <v>-0.79519796723452885</v>
      </c>
    </row>
    <row r="35" spans="12:14" x14ac:dyDescent="0.3">
      <c r="L35" s="13"/>
    </row>
    <row r="36" spans="12:14" x14ac:dyDescent="0.3">
      <c r="L36" s="13" t="str">
        <f>'Ind T4'!A54</f>
        <v>Water and sewerage</v>
      </c>
      <c r="M36">
        <f>'Ind T4'!B93</f>
        <v>0.99169869949289335</v>
      </c>
      <c r="N36">
        <f>'Ind T4'!C93</f>
        <v>0.83615818436593159</v>
      </c>
    </row>
    <row r="37" spans="12:14" x14ac:dyDescent="0.3">
      <c r="L37" s="13" t="str">
        <f>'Ind T4'!A53</f>
        <v>Electricity and gas</v>
      </c>
      <c r="M37">
        <f>'Ind T4'!B92</f>
        <v>3.7465694631868995</v>
      </c>
      <c r="N37">
        <f>'Ind T4'!C92</f>
        <v>-0.30028462793940669</v>
      </c>
    </row>
    <row r="38" spans="12:14" x14ac:dyDescent="0.3">
      <c r="L38" s="13" t="str">
        <f>'Ind T4'!A52</f>
        <v>Mining and quarrying</v>
      </c>
      <c r="M38">
        <f>'Ind T4'!B91</f>
        <v>-4.2157603060080984</v>
      </c>
      <c r="N38">
        <f>'Ind T4'!C91</f>
        <v>-3.3506240374687857</v>
      </c>
    </row>
    <row r="39" spans="12:14" x14ac:dyDescent="0.3">
      <c r="L39" s="44" t="str">
        <f>'Ind T4'!A51</f>
        <v>Agriculture</v>
      </c>
      <c r="M39">
        <f>'Ind T4'!B90</f>
        <v>-1.8136034084945241</v>
      </c>
      <c r="N39">
        <f>'Ind T4'!C90</f>
        <v>0.25825290801375633</v>
      </c>
    </row>
    <row r="40" spans="12:14" x14ac:dyDescent="0.3">
      <c r="L40" s="1" t="str">
        <f>CONCATENATE("[",'Ind T4'!A50,"]")</f>
        <v>[Primary sector and utilities]</v>
      </c>
      <c r="M40">
        <f>'Ind T4'!B89</f>
        <v>-2.3498241753794336E-2</v>
      </c>
      <c r="N40">
        <f>'Ind T4'!C89</f>
        <v>0.20432106617911394</v>
      </c>
    </row>
    <row r="43" spans="12:14" x14ac:dyDescent="0.3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45" x14ac:dyDescent="0.3"/>
  <cols>
    <col min="1" max="1" width="17" style="80" customWidth="1"/>
    <col min="2" max="10" width="9.15234375" style="80"/>
    <col min="11" max="11" width="23.3046875" style="80" customWidth="1"/>
    <col min="12" max="12" width="25.53515625" customWidth="1"/>
    <col min="13" max="13" width="8.69140625" bestFit="1" customWidth="1"/>
    <col min="14" max="15" width="9.15234375" bestFit="1" customWidth="1"/>
    <col min="16" max="16" width="8.69140625" bestFit="1" customWidth="1"/>
    <col min="17" max="18" width="9.15234375" bestFit="1" customWidth="1"/>
    <col min="19" max="19" width="8.69140625" bestFit="1" customWidth="1"/>
    <col min="20" max="21" width="9.15234375" bestFit="1" customWidth="1"/>
    <col min="22" max="22" width="8.69140625" bestFit="1" customWidth="1"/>
    <col min="23" max="23" width="9.15234375" bestFit="1" customWidth="1"/>
    <col min="24" max="25" width="8.69140625" bestFit="1" customWidth="1"/>
    <col min="26" max="29" width="9.15234375" bestFit="1" customWidth="1"/>
    <col min="30" max="31" width="8.3046875" bestFit="1" customWidth="1"/>
    <col min="32" max="37" width="8.69140625" bestFit="1" customWidth="1"/>
    <col min="38" max="38" width="9.15234375" bestFit="1" customWidth="1"/>
    <col min="39" max="40" width="7.53515625" customWidth="1"/>
    <col min="41" max="41" width="6.84375" customWidth="1"/>
    <col min="42" max="42" width="7.15234375" customWidth="1"/>
    <col min="43" max="43" width="7.53515625" customWidth="1"/>
    <col min="44" max="44" width="7.15234375" customWidth="1"/>
    <col min="45" max="47" width="7.53515625" customWidth="1"/>
    <col min="48" max="48" width="7.15234375" customWidth="1"/>
    <col min="49" max="52" width="7.53515625" customWidth="1"/>
    <col min="53" max="53" width="6.84375" customWidth="1"/>
    <col min="54" max="57" width="7.53515625" customWidth="1"/>
    <col min="58" max="58" width="7.15234375" customWidth="1"/>
    <col min="59" max="59" width="7.53515625" customWidth="1"/>
    <col min="60" max="60" width="6.53515625" customWidth="1"/>
    <col min="61" max="63" width="7.53515625" customWidth="1"/>
    <col min="64" max="64" width="2.3828125" customWidth="1"/>
    <col min="65" max="65" width="6.3046875" customWidth="1"/>
    <col min="66" max="66" width="19.3828125" customWidth="1"/>
  </cols>
  <sheetData>
    <row r="1" spans="1:96" ht="15.45" x14ac:dyDescent="0.4">
      <c r="A1" s="79" t="str">
        <f>CONCATENATE("Industry Figure 2  Employment by Industry (SIC 2007), ",$M$2,"-",$O$2,", ",Info!B5)</f>
        <v>Industry Figure 2  Employment by Industry (SIC 2007), 2010-2035, England</v>
      </c>
      <c r="L1" s="45"/>
    </row>
    <row r="2" spans="1:96" x14ac:dyDescent="0.3">
      <c r="A2" s="181" t="s">
        <v>532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3">
      <c r="L3" s="15"/>
      <c r="M3" s="15"/>
      <c r="N3" s="46"/>
      <c r="O3" s="15"/>
    </row>
    <row r="4" spans="1:96" x14ac:dyDescent="0.3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3">
      <c r="L5" s="1" t="str">
        <f>'Ind T4'!A7</f>
        <v>Primary sector and utilities</v>
      </c>
      <c r="M5" s="86">
        <f>SUM(M6:M9)</f>
        <v>565.11799999881123</v>
      </c>
      <c r="N5" s="86">
        <f t="shared" ref="N5:AL5" si="1">SUM(N6:N9)</f>
        <v>560.15399999951956</v>
      </c>
      <c r="O5" s="86">
        <f t="shared" si="1"/>
        <v>590.72799999853271</v>
      </c>
      <c r="P5" s="86">
        <f t="shared" si="1"/>
        <v>537.18899999782377</v>
      </c>
      <c r="Q5" s="86">
        <f t="shared" si="1"/>
        <v>575.92199999819218</v>
      </c>
      <c r="R5" s="86">
        <f t="shared" si="1"/>
        <v>555.19600000041191</v>
      </c>
      <c r="S5" s="86">
        <f t="shared" si="1"/>
        <v>553.72499999804052</v>
      </c>
      <c r="T5" s="86">
        <f t="shared" si="1"/>
        <v>577.50600000218344</v>
      </c>
      <c r="U5" s="86">
        <f t="shared" si="1"/>
        <v>611.30000000292409</v>
      </c>
      <c r="V5" s="86">
        <f t="shared" si="1"/>
        <v>598.95700000140323</v>
      </c>
      <c r="W5" s="86">
        <f t="shared" si="1"/>
        <v>554.54399999805901</v>
      </c>
      <c r="X5" s="86">
        <f t="shared" si="1"/>
        <v>550.15299999736385</v>
      </c>
      <c r="Y5" s="86">
        <f t="shared" si="1"/>
        <v>548.1149999995904</v>
      </c>
      <c r="Z5" s="86">
        <f t="shared" si="1"/>
        <v>551.07499999931349</v>
      </c>
      <c r="AA5" s="86">
        <f t="shared" si="1"/>
        <v>558.34199999823807</v>
      </c>
      <c r="AB5" s="86">
        <f t="shared" si="1"/>
        <v>561.28600000060646</v>
      </c>
      <c r="AC5" s="86">
        <f t="shared" si="1"/>
        <v>563.51400000009539</v>
      </c>
      <c r="AD5" s="86">
        <f t="shared" si="1"/>
        <v>565.0130000009201</v>
      </c>
      <c r="AE5" s="86">
        <f t="shared" si="1"/>
        <v>566.01300000000015</v>
      </c>
      <c r="AF5" s="86">
        <f t="shared" si="1"/>
        <v>566.78900000049862</v>
      </c>
      <c r="AG5" s="86">
        <f t="shared" si="1"/>
        <v>567.77900000068689</v>
      </c>
      <c r="AH5" s="86">
        <f t="shared" si="1"/>
        <v>568.62500000083173</v>
      </c>
      <c r="AI5" s="86">
        <f t="shared" si="1"/>
        <v>569.43900000114604</v>
      </c>
      <c r="AJ5" s="86">
        <f t="shared" si="1"/>
        <v>570.21900000177959</v>
      </c>
      <c r="AK5" s="86">
        <f t="shared" si="1"/>
        <v>571.00799999999754</v>
      </c>
      <c r="AL5" s="86">
        <f t="shared" si="1"/>
        <v>571.78499999819633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3">
      <c r="L6" s="82" t="str">
        <f>'Ind T4'!A8</f>
        <v>Agriculture</v>
      </c>
      <c r="M6" s="11">
        <v>286.70399999839151</v>
      </c>
      <c r="N6" s="11">
        <v>284.09400000045702</v>
      </c>
      <c r="O6" s="11">
        <v>299.12999999941439</v>
      </c>
      <c r="P6" s="11">
        <v>254.50799999888872</v>
      </c>
      <c r="Q6" s="11">
        <v>301.21199999913404</v>
      </c>
      <c r="R6" s="11">
        <v>262.66400000087742</v>
      </c>
      <c r="S6" s="11">
        <v>255.6499999987966</v>
      </c>
      <c r="T6" s="11">
        <v>261.23800000146286</v>
      </c>
      <c r="U6" s="11">
        <v>275.73600000205232</v>
      </c>
      <c r="V6" s="11">
        <v>270.40100000186817</v>
      </c>
      <c r="W6" s="11">
        <v>239.69399999875475</v>
      </c>
      <c r="X6" s="11">
        <v>241.42999999844511</v>
      </c>
      <c r="Y6" s="11">
        <v>243.09199999911934</v>
      </c>
      <c r="Z6" s="11">
        <v>245.35799999880027</v>
      </c>
      <c r="AA6" s="11">
        <v>246.86999999804183</v>
      </c>
      <c r="AB6" s="11">
        <v>246.8979999987769</v>
      </c>
      <c r="AC6" s="11">
        <v>247.11899999849686</v>
      </c>
      <c r="AD6" s="11">
        <v>247.29799999934113</v>
      </c>
      <c r="AE6" s="11">
        <v>247.40299999863791</v>
      </c>
      <c r="AF6" s="11">
        <v>247.49199999924073</v>
      </c>
      <c r="AG6" s="11">
        <v>247.8289999989527</v>
      </c>
      <c r="AH6" s="11">
        <v>248.14099999952032</v>
      </c>
      <c r="AI6" s="11">
        <v>248.43099999950581</v>
      </c>
      <c r="AJ6" s="11">
        <v>248.69599999974119</v>
      </c>
      <c r="AK6" s="171">
        <v>248.92499999813441</v>
      </c>
      <c r="AL6" s="11">
        <v>249.14899999809109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3">
      <c r="L7" s="82" t="str">
        <f>'Ind T4'!A9</f>
        <v>Mining and quarrying</v>
      </c>
      <c r="M7" s="11">
        <v>26.950000000087385</v>
      </c>
      <c r="N7" s="11">
        <v>28.058999999963298</v>
      </c>
      <c r="O7" s="11">
        <v>37.004999999853375</v>
      </c>
      <c r="P7" s="11">
        <v>30.044999999842197</v>
      </c>
      <c r="Q7" s="11">
        <v>24.05999999990777</v>
      </c>
      <c r="R7" s="11">
        <v>30.394999999857781</v>
      </c>
      <c r="S7" s="11">
        <v>25.559999999920784</v>
      </c>
      <c r="T7" s="11">
        <v>21.857000000057113</v>
      </c>
      <c r="U7" s="11">
        <v>26.380000000058942</v>
      </c>
      <c r="V7" s="11">
        <v>23.973999999977273</v>
      </c>
      <c r="W7" s="11">
        <v>24.505999999997869</v>
      </c>
      <c r="X7" s="11">
        <v>23.250999999975264</v>
      </c>
      <c r="Y7" s="11">
        <v>22.767000000051191</v>
      </c>
      <c r="Z7" s="11">
        <v>21.690000000027968</v>
      </c>
      <c r="AA7" s="11">
        <v>20.606000000035259</v>
      </c>
      <c r="AB7" s="11">
        <v>19.748000000062095</v>
      </c>
      <c r="AC7" s="11">
        <v>19.074000000051019</v>
      </c>
      <c r="AD7" s="11">
        <v>18.412000000073391</v>
      </c>
      <c r="AE7" s="11">
        <v>17.822000000042287</v>
      </c>
      <c r="AF7" s="11">
        <v>17.282000000028205</v>
      </c>
      <c r="AG7" s="11">
        <v>16.814000000055533</v>
      </c>
      <c r="AH7" s="11">
        <v>16.308000000060474</v>
      </c>
      <c r="AI7" s="11">
        <v>15.853000000066393</v>
      </c>
      <c r="AJ7" s="11">
        <v>15.429000000069591</v>
      </c>
      <c r="AK7" s="171">
        <v>15.046000000052295</v>
      </c>
      <c r="AL7" s="11">
        <v>14.698000000043045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3">
      <c r="L8" s="82" t="str">
        <f>'Ind T4'!A10</f>
        <v>Electricity and gas</v>
      </c>
      <c r="M8" s="11">
        <v>103.08400000010815</v>
      </c>
      <c r="N8" s="11">
        <v>90.741999999640271</v>
      </c>
      <c r="O8" s="11">
        <v>96.360999999529483</v>
      </c>
      <c r="P8" s="11">
        <v>97.576999999774657</v>
      </c>
      <c r="Q8" s="11">
        <v>86.457999999785201</v>
      </c>
      <c r="R8" s="11">
        <v>98.78599999956451</v>
      </c>
      <c r="S8" s="11">
        <v>108.59199999950371</v>
      </c>
      <c r="T8" s="11">
        <v>115.72599999997597</v>
      </c>
      <c r="U8" s="11">
        <v>122.19699999991163</v>
      </c>
      <c r="V8" s="11">
        <v>119.00299999947046</v>
      </c>
      <c r="W8" s="11">
        <v>118.73099999947833</v>
      </c>
      <c r="X8" s="11">
        <v>117.33099999931129</v>
      </c>
      <c r="Y8" s="11">
        <v>115.17100000016499</v>
      </c>
      <c r="Z8" s="11">
        <v>114.6030000001366</v>
      </c>
      <c r="AA8" s="11">
        <v>114.42200000010655</v>
      </c>
      <c r="AB8" s="11">
        <v>114.24900000085233</v>
      </c>
      <c r="AC8" s="11">
        <v>114.03400000054249</v>
      </c>
      <c r="AD8" s="11">
        <v>113.88900000039457</v>
      </c>
      <c r="AE8" s="11">
        <v>113.72200000036847</v>
      </c>
      <c r="AF8" s="11">
        <v>113.60900000048889</v>
      </c>
      <c r="AG8" s="11">
        <v>113.55400000044928</v>
      </c>
      <c r="AH8" s="11">
        <v>113.51800000038359</v>
      </c>
      <c r="AI8" s="11">
        <v>113.49400000056292</v>
      </c>
      <c r="AJ8" s="11">
        <v>113.48600000050466</v>
      </c>
      <c r="AK8" s="171">
        <v>113.48500000045887</v>
      </c>
      <c r="AL8" s="11">
        <v>113.49399999960092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3">
      <c r="L9" s="82" t="str">
        <f>'Ind T4'!A11</f>
        <v>Water and sewerage</v>
      </c>
      <c r="M9" s="11">
        <v>148.38000000022421</v>
      </c>
      <c r="N9" s="11">
        <v>157.25899999945901</v>
      </c>
      <c r="O9" s="11">
        <v>158.23199999973539</v>
      </c>
      <c r="P9" s="11">
        <v>155.05899999931816</v>
      </c>
      <c r="Q9" s="11">
        <v>164.19199999936512</v>
      </c>
      <c r="R9" s="11">
        <v>163.35100000011215</v>
      </c>
      <c r="S9" s="11">
        <v>163.9229999998195</v>
      </c>
      <c r="T9" s="11">
        <v>178.68500000068755</v>
      </c>
      <c r="U9" s="11">
        <v>186.98700000090122</v>
      </c>
      <c r="V9" s="11">
        <v>185.57900000008738</v>
      </c>
      <c r="W9" s="11">
        <v>171.61299999982805</v>
      </c>
      <c r="X9" s="11">
        <v>168.14099999963224</v>
      </c>
      <c r="Y9" s="11">
        <v>167.08500000025489</v>
      </c>
      <c r="Z9" s="11">
        <v>169.42400000034866</v>
      </c>
      <c r="AA9" s="11">
        <v>176.44400000005439</v>
      </c>
      <c r="AB9" s="11">
        <v>180.39100000091514</v>
      </c>
      <c r="AC9" s="11">
        <v>183.28700000100505</v>
      </c>
      <c r="AD9" s="11">
        <v>185.41400000111102</v>
      </c>
      <c r="AE9" s="11">
        <v>187.0660000009515</v>
      </c>
      <c r="AF9" s="11">
        <v>188.40600000074085</v>
      </c>
      <c r="AG9" s="11">
        <v>189.58200000122943</v>
      </c>
      <c r="AH9" s="11">
        <v>190.6580000008673</v>
      </c>
      <c r="AI9" s="11">
        <v>191.66100000101096</v>
      </c>
      <c r="AJ9" s="11">
        <v>192.60800000146421</v>
      </c>
      <c r="AK9" s="171">
        <v>193.55200000135193</v>
      </c>
      <c r="AL9" s="11">
        <v>194.4440000004613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3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3">
      <c r="L11" s="1" t="str">
        <f>'Ind T4'!A13</f>
        <v>Manufacturing</v>
      </c>
      <c r="M11" s="86">
        <f t="shared" ref="M11:P11" si="2">SUM(M12:M14)</f>
        <v>2166.6589999965036</v>
      </c>
      <c r="N11" s="86">
        <f t="shared" si="2"/>
        <v>2149.8609999941</v>
      </c>
      <c r="O11" s="86">
        <f t="shared" si="2"/>
        <v>2181.4089999949811</v>
      </c>
      <c r="P11" s="86">
        <f t="shared" si="2"/>
        <v>2135.4549999885012</v>
      </c>
      <c r="Q11" s="86">
        <f>SUM(Q12:Q14)</f>
        <v>2178.5729999917303</v>
      </c>
      <c r="R11" s="86">
        <f t="shared" ref="R11" si="3">SUM(R12:R14)</f>
        <v>2197.641999999099</v>
      </c>
      <c r="S11" s="86">
        <f t="shared" ref="S11" si="4">SUM(S12:S14)</f>
        <v>2214.8859999942242</v>
      </c>
      <c r="T11" s="86">
        <f t="shared" ref="T11" si="5">SUM(T12:T14)</f>
        <v>2248.3400000089423</v>
      </c>
      <c r="U11" s="86">
        <f t="shared" ref="U11" si="6">SUM(U12:U14)</f>
        <v>2285.5660000079924</v>
      </c>
      <c r="V11" s="86">
        <f t="shared" ref="V11" si="7">SUM(V12:V14)</f>
        <v>2254.4499999968248</v>
      </c>
      <c r="W11" s="86">
        <f t="shared" ref="W11" si="8">SUM(W12:W14)</f>
        <v>2208.4099999963055</v>
      </c>
      <c r="X11" s="86">
        <f t="shared" ref="X11" si="9">SUM(X12:X14)</f>
        <v>2207.0889999898059</v>
      </c>
      <c r="Y11" s="86">
        <f t="shared" ref="Y11" si="10">SUM(Y12:Y14)</f>
        <v>2186.5910000034587</v>
      </c>
      <c r="Z11" s="86">
        <f t="shared" ref="Z11" si="11">SUM(Z12:Z14)</f>
        <v>2167.2190000030178</v>
      </c>
      <c r="AA11" s="86">
        <f t="shared" ref="AA11" si="12">SUM(AA12:AA14)</f>
        <v>2151.6339999999454</v>
      </c>
      <c r="AB11" s="86">
        <f t="shared" ref="AB11" si="13">SUM(AB12:AB14)</f>
        <v>2130.7230000115924</v>
      </c>
      <c r="AC11" s="86">
        <f t="shared" ref="AC11" si="14">SUM(AC12:AC14)</f>
        <v>2111.3650000106513</v>
      </c>
      <c r="AD11" s="86">
        <f>SUM(AD12:AD14)</f>
        <v>2091.6410000128753</v>
      </c>
      <c r="AE11" s="86">
        <f t="shared" ref="AE11" si="15">SUM(AE12:AE14)</f>
        <v>2072.582000010033</v>
      </c>
      <c r="AF11" s="86">
        <f t="shared" ref="AF11" si="16">SUM(AF12:AF14)</f>
        <v>2054.2060000090696</v>
      </c>
      <c r="AG11" s="86">
        <f t="shared" ref="AG11:AL11" si="17">SUM(AG12:AG14)</f>
        <v>2037.9850000124452</v>
      </c>
      <c r="AH11" s="86">
        <f t="shared" si="17"/>
        <v>2021.1760000096592</v>
      </c>
      <c r="AI11" s="86">
        <f t="shared" si="17"/>
        <v>2004.863000011432</v>
      </c>
      <c r="AJ11" s="86">
        <f t="shared" si="17"/>
        <v>1989.036000015742</v>
      </c>
      <c r="AK11" s="86">
        <f t="shared" si="17"/>
        <v>1973.6880000130127</v>
      </c>
      <c r="AL11" s="86">
        <f t="shared" si="17"/>
        <v>1959.1609999995239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3">
      <c r="L12" s="82" t="str">
        <f>'Ind T4'!A14</f>
        <v>Food drink and tobacco</v>
      </c>
      <c r="M12" s="11">
        <v>331.09099999781665</v>
      </c>
      <c r="N12" s="11">
        <v>317.62199999875878</v>
      </c>
      <c r="O12" s="11">
        <v>321.97899999966427</v>
      </c>
      <c r="P12" s="11">
        <v>329.81699999764118</v>
      </c>
      <c r="Q12" s="11">
        <v>330.73099999844521</v>
      </c>
      <c r="R12" s="11">
        <v>338.92800000130194</v>
      </c>
      <c r="S12" s="11">
        <v>361.15799999964122</v>
      </c>
      <c r="T12" s="11">
        <v>365.47600000279738</v>
      </c>
      <c r="U12" s="11">
        <v>356.77400000219541</v>
      </c>
      <c r="V12" s="11">
        <v>366.44100000040532</v>
      </c>
      <c r="W12" s="11">
        <v>367.30900000027202</v>
      </c>
      <c r="X12" s="11">
        <v>368.71799999796525</v>
      </c>
      <c r="Y12" s="11">
        <v>370.76500000139589</v>
      </c>
      <c r="Z12" s="11">
        <v>372.89500000170909</v>
      </c>
      <c r="AA12" s="11">
        <v>372.97700000032796</v>
      </c>
      <c r="AB12" s="11">
        <v>371.81200000413804</v>
      </c>
      <c r="AC12" s="11">
        <v>370.96300000360475</v>
      </c>
      <c r="AD12" s="11">
        <v>369.96000000367241</v>
      </c>
      <c r="AE12" s="11">
        <v>368.88000000303879</v>
      </c>
      <c r="AF12" s="11">
        <v>367.78100000291118</v>
      </c>
      <c r="AG12" s="11">
        <v>366.87100000362369</v>
      </c>
      <c r="AH12" s="11">
        <v>365.9710000029732</v>
      </c>
      <c r="AI12" s="11">
        <v>365.05900000351795</v>
      </c>
      <c r="AJ12" s="11">
        <v>364.10200000452022</v>
      </c>
      <c r="AK12" s="171">
        <v>363.1150000041352</v>
      </c>
      <c r="AL12" s="11">
        <v>362.09299999941993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3">
      <c r="L13" s="82" t="str">
        <f>'Ind T4'!A15</f>
        <v>Engineering</v>
      </c>
      <c r="M13" s="11">
        <v>332.92899999996166</v>
      </c>
      <c r="N13" s="11">
        <v>360.95499999896225</v>
      </c>
      <c r="O13" s="11">
        <v>359.70399999893226</v>
      </c>
      <c r="P13" s="11">
        <v>357.69299999877126</v>
      </c>
      <c r="Q13" s="11">
        <v>326.53999999890885</v>
      </c>
      <c r="R13" s="11">
        <v>331.15499999898378</v>
      </c>
      <c r="S13" s="11">
        <v>326.91799999889372</v>
      </c>
      <c r="T13" s="11">
        <v>344.77700000036958</v>
      </c>
      <c r="U13" s="11">
        <v>340.03500000037957</v>
      </c>
      <c r="V13" s="11">
        <v>338.70199999916076</v>
      </c>
      <c r="W13" s="11">
        <v>322.65599999908096</v>
      </c>
      <c r="X13" s="11">
        <v>331.84199999871572</v>
      </c>
      <c r="Y13" s="11">
        <v>329.82000000032934</v>
      </c>
      <c r="Z13" s="11">
        <v>330.83900000021612</v>
      </c>
      <c r="AA13" s="11">
        <v>330.50900000005936</v>
      </c>
      <c r="AB13" s="11">
        <v>328.98500000143895</v>
      </c>
      <c r="AC13" s="11">
        <v>324.78600000129734</v>
      </c>
      <c r="AD13" s="11">
        <v>320.59300000156941</v>
      </c>
      <c r="AE13" s="11">
        <v>316.4430000013424</v>
      </c>
      <c r="AF13" s="11">
        <v>312.38900000125824</v>
      </c>
      <c r="AG13" s="11">
        <v>308.7540000017043</v>
      </c>
      <c r="AH13" s="11">
        <v>305.00300000125554</v>
      </c>
      <c r="AI13" s="11">
        <v>301.26600000149227</v>
      </c>
      <c r="AJ13" s="11">
        <v>297.55000000190535</v>
      </c>
      <c r="AK13" s="171">
        <v>293.84600000154586</v>
      </c>
      <c r="AL13" s="11">
        <v>290.17600000016159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3">
      <c r="L14" s="82" t="str">
        <f>'Ind T4'!A16</f>
        <v>Rest of manufacturing</v>
      </c>
      <c r="M14" s="11">
        <v>1502.638999998725</v>
      </c>
      <c r="N14" s="11">
        <v>1471.2839999963792</v>
      </c>
      <c r="O14" s="11">
        <v>1499.7259999963846</v>
      </c>
      <c r="P14" s="11">
        <v>1447.9449999920885</v>
      </c>
      <c r="Q14" s="11">
        <v>1521.3019999943765</v>
      </c>
      <c r="R14" s="11">
        <v>1527.5589999988133</v>
      </c>
      <c r="S14" s="11">
        <v>1526.8099999956894</v>
      </c>
      <c r="T14" s="11">
        <v>1538.0870000057755</v>
      </c>
      <c r="U14" s="11">
        <v>1588.7570000054177</v>
      </c>
      <c r="V14" s="11">
        <v>1549.3069999972588</v>
      </c>
      <c r="W14" s="11">
        <v>1518.4449999969527</v>
      </c>
      <c r="X14" s="11">
        <v>1506.5289999931249</v>
      </c>
      <c r="Y14" s="11">
        <v>1486.0060000017336</v>
      </c>
      <c r="Z14" s="11">
        <v>1463.4850000010927</v>
      </c>
      <c r="AA14" s="11">
        <v>1448.1479999995581</v>
      </c>
      <c r="AB14" s="11">
        <v>1429.9260000060153</v>
      </c>
      <c r="AC14" s="11">
        <v>1415.6160000057494</v>
      </c>
      <c r="AD14" s="11">
        <v>1401.0880000076334</v>
      </c>
      <c r="AE14" s="11">
        <v>1387.2590000056518</v>
      </c>
      <c r="AF14" s="11">
        <v>1374.0360000049</v>
      </c>
      <c r="AG14" s="11">
        <v>1362.3600000071172</v>
      </c>
      <c r="AH14" s="11">
        <v>1350.2020000054304</v>
      </c>
      <c r="AI14" s="11">
        <v>1338.5380000064217</v>
      </c>
      <c r="AJ14" s="11">
        <v>1327.3840000093164</v>
      </c>
      <c r="AK14" s="171">
        <v>1316.7270000073315</v>
      </c>
      <c r="AL14" s="11">
        <v>1306.8919999999425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3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3">
      <c r="L16" s="1" t="str">
        <f>'Ind T4'!A18</f>
        <v>Construction</v>
      </c>
      <c r="M16" s="86">
        <v>1762.2880000026478</v>
      </c>
      <c r="N16" s="86">
        <v>1726.0349999872144</v>
      </c>
      <c r="O16" s="86">
        <v>1744.3209999920223</v>
      </c>
      <c r="P16" s="86">
        <v>1730.5579999859333</v>
      </c>
      <c r="Q16" s="86">
        <v>1777.1559999742815</v>
      </c>
      <c r="R16" s="86">
        <v>1800.3539999823467</v>
      </c>
      <c r="S16" s="86">
        <v>1907.1309999771036</v>
      </c>
      <c r="T16" s="86">
        <v>1989.7140000048064</v>
      </c>
      <c r="U16" s="86">
        <v>1943.0150000180868</v>
      </c>
      <c r="V16" s="86">
        <v>1996.7570000194821</v>
      </c>
      <c r="W16" s="86">
        <v>1999.7949999736827</v>
      </c>
      <c r="X16" s="86">
        <v>1977.5929999618268</v>
      </c>
      <c r="Y16" s="86">
        <v>1998.3539999393267</v>
      </c>
      <c r="Z16" s="86">
        <v>2043.6099999393082</v>
      </c>
      <c r="AA16" s="86">
        <v>2079.9439999263495</v>
      </c>
      <c r="AB16" s="86">
        <v>2097.9509999332668</v>
      </c>
      <c r="AC16" s="86">
        <v>2113.9159999377125</v>
      </c>
      <c r="AD16" s="86">
        <v>2125.5439999392152</v>
      </c>
      <c r="AE16" s="86">
        <v>2139.4879999260224</v>
      </c>
      <c r="AF16" s="86">
        <v>2152.4319999355243</v>
      </c>
      <c r="AG16" s="86">
        <v>2167.870999930889</v>
      </c>
      <c r="AH16" s="86">
        <v>2183.7949999419397</v>
      </c>
      <c r="AI16" s="86">
        <v>2200.2799999324802</v>
      </c>
      <c r="AJ16" s="86">
        <v>2217.1909999481422</v>
      </c>
      <c r="AK16" s="355">
        <v>2234.4209999349132</v>
      </c>
      <c r="AL16" s="86">
        <v>2251.9169999468195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3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3">
      <c r="L18" s="1" t="str">
        <f>'Ind T4'!A20</f>
        <v>Trade, accomod. and transport</v>
      </c>
      <c r="M18" s="86">
        <f t="shared" ref="M18:P18" si="18">SUM(M19:M21)</f>
        <v>6948.4279999353193</v>
      </c>
      <c r="N18" s="86">
        <f t="shared" si="18"/>
        <v>7023.8129999517278</v>
      </c>
      <c r="O18" s="86">
        <f t="shared" si="18"/>
        <v>7177.8809999680561</v>
      </c>
      <c r="P18" s="86">
        <f t="shared" si="18"/>
        <v>7140.0469999739125</v>
      </c>
      <c r="Q18" s="86">
        <f>SUM(Q19:Q21)</f>
        <v>7355.0780000482964</v>
      </c>
      <c r="R18" s="86">
        <f t="shared" ref="R18" si="19">SUM(R19:R21)</f>
        <v>7525.0560001205204</v>
      </c>
      <c r="S18" s="86">
        <f t="shared" ref="S18" si="20">SUM(S19:S21)</f>
        <v>7745.3340000843227</v>
      </c>
      <c r="T18" s="86">
        <f t="shared" ref="T18" si="21">SUM(T19:T21)</f>
        <v>7824.0570001095039</v>
      </c>
      <c r="U18" s="86">
        <f t="shared" ref="U18" si="22">SUM(U19:U21)</f>
        <v>7855.8730001007834</v>
      </c>
      <c r="V18" s="86">
        <f t="shared" ref="V18" si="23">SUM(V19:V21)</f>
        <v>8007.9100000778271</v>
      </c>
      <c r="W18" s="86">
        <f t="shared" ref="W18" si="24">SUM(W19:W21)</f>
        <v>7878.5050000484925</v>
      </c>
      <c r="X18" s="86">
        <f t="shared" ref="X18" si="25">SUM(X19:X21)</f>
        <v>7861.8999999586231</v>
      </c>
      <c r="Y18" s="86">
        <f t="shared" ref="Y18" si="26">SUM(Y19:Y21)</f>
        <v>7911.6640001134638</v>
      </c>
      <c r="Z18" s="86">
        <f t="shared" ref="Z18" si="27">SUM(Z19:Z21)</f>
        <v>7976.5250001457825</v>
      </c>
      <c r="AA18" s="86">
        <f t="shared" ref="AA18" si="28">SUM(AA19:AA21)</f>
        <v>8047.4070001021591</v>
      </c>
      <c r="AB18" s="86">
        <f t="shared" ref="AB18" si="29">SUM(AB19:AB21)</f>
        <v>8105.1010001628101</v>
      </c>
      <c r="AC18" s="86">
        <f t="shared" ref="AC18" si="30">SUM(AC19:AC21)</f>
        <v>8151.0890001347798</v>
      </c>
      <c r="AD18" s="86">
        <f>SUM(AD19:AD21)</f>
        <v>8192.5630001263053</v>
      </c>
      <c r="AE18" s="86">
        <f t="shared" ref="AE18" si="31">SUM(AE19:AE21)</f>
        <v>8231.5780001211715</v>
      </c>
      <c r="AF18" s="86">
        <f t="shared" ref="AF18" si="32">SUM(AF19:AF21)</f>
        <v>8269.2380001186975</v>
      </c>
      <c r="AG18" s="86">
        <f t="shared" ref="AG18:AL18" si="33">SUM(AG19:AG21)</f>
        <v>8307.6890001212705</v>
      </c>
      <c r="AH18" s="86">
        <f t="shared" si="33"/>
        <v>8345.2880001168342</v>
      </c>
      <c r="AI18" s="86">
        <f t="shared" si="33"/>
        <v>8382.0090001225435</v>
      </c>
      <c r="AJ18" s="86">
        <f t="shared" si="33"/>
        <v>8419.4550001326879</v>
      </c>
      <c r="AK18" s="86">
        <f t="shared" si="33"/>
        <v>8455.5230001497384</v>
      </c>
      <c r="AL18" s="86">
        <f t="shared" si="33"/>
        <v>8490.7949999848715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3">
      <c r="L19" s="82" t="str">
        <f>'Ind T4'!A21</f>
        <v>Wholesale and retail trade</v>
      </c>
      <c r="M19" s="11">
        <v>4056.4729999577899</v>
      </c>
      <c r="N19" s="11">
        <v>4051.8789999736837</v>
      </c>
      <c r="O19" s="11">
        <v>4135.1129999770628</v>
      </c>
      <c r="P19" s="11">
        <v>4081.9199999776733</v>
      </c>
      <c r="Q19" s="11">
        <v>4177.7060000465817</v>
      </c>
      <c r="R19" s="11">
        <v>4242.0110000769027</v>
      </c>
      <c r="S19" s="11">
        <v>4268.6350000533703</v>
      </c>
      <c r="T19" s="11">
        <v>4278.0670000790806</v>
      </c>
      <c r="U19" s="11">
        <v>4258.8760000667662</v>
      </c>
      <c r="V19" s="11">
        <v>4291.2060000558395</v>
      </c>
      <c r="W19" s="11">
        <v>4259.6270000357363</v>
      </c>
      <c r="X19" s="11">
        <v>4268.1079999677895</v>
      </c>
      <c r="Y19" s="11">
        <v>4268.578000069725</v>
      </c>
      <c r="Z19" s="11">
        <v>4269.7260000882634</v>
      </c>
      <c r="AA19" s="11">
        <v>4275.5870000630357</v>
      </c>
      <c r="AB19" s="11">
        <v>4283.6300000971387</v>
      </c>
      <c r="AC19" s="11">
        <v>4288.095000078024</v>
      </c>
      <c r="AD19" s="11">
        <v>4291.5660000726421</v>
      </c>
      <c r="AE19" s="11">
        <v>4294.6100000670904</v>
      </c>
      <c r="AF19" s="11">
        <v>4297.5450000682285</v>
      </c>
      <c r="AG19" s="11">
        <v>4301.3700000642993</v>
      </c>
      <c r="AH19" s="11">
        <v>4305.7260000641536</v>
      </c>
      <c r="AI19" s="11">
        <v>4310.131000066558</v>
      </c>
      <c r="AJ19" s="11">
        <v>4316.3810000706826</v>
      </c>
      <c r="AK19" s="171">
        <v>4322.3960000790112</v>
      </c>
      <c r="AL19" s="11">
        <v>4328.4679999876525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3">
      <c r="L20" s="82" t="str">
        <f>'Ind T4'!A22</f>
        <v>Transport and storage</v>
      </c>
      <c r="M20" s="11">
        <v>1266.9569999878679</v>
      </c>
      <c r="N20" s="11">
        <v>1291.5059999851401</v>
      </c>
      <c r="O20" s="11">
        <v>1318.1829999883505</v>
      </c>
      <c r="P20" s="11">
        <v>1299.6519999935135</v>
      </c>
      <c r="Q20" s="11">
        <v>1308.7759999885016</v>
      </c>
      <c r="R20" s="11">
        <v>1399.6460000121267</v>
      </c>
      <c r="S20" s="11">
        <v>1504.2510000077752</v>
      </c>
      <c r="T20" s="11">
        <v>1520.2039999987207</v>
      </c>
      <c r="U20" s="11">
        <v>1517.6000000032971</v>
      </c>
      <c r="V20" s="11">
        <v>1594.7559999919511</v>
      </c>
      <c r="W20" s="11">
        <v>1582.7790000029988</v>
      </c>
      <c r="X20" s="11">
        <v>1654.5580000043979</v>
      </c>
      <c r="Y20" s="11">
        <v>1662.7180000174037</v>
      </c>
      <c r="Z20" s="11">
        <v>1671.4440000208538</v>
      </c>
      <c r="AA20" s="11">
        <v>1681.8330000131257</v>
      </c>
      <c r="AB20" s="11">
        <v>1687.9900000238249</v>
      </c>
      <c r="AC20" s="11">
        <v>1691.7200000248361</v>
      </c>
      <c r="AD20" s="11">
        <v>1695.2090000225783</v>
      </c>
      <c r="AE20" s="11">
        <v>1698.5010000244285</v>
      </c>
      <c r="AF20" s="11">
        <v>1701.8430000173091</v>
      </c>
      <c r="AG20" s="11">
        <v>1705.5800000255035</v>
      </c>
      <c r="AH20" s="11">
        <v>1708.8670000177462</v>
      </c>
      <c r="AI20" s="11">
        <v>1712.0600000200627</v>
      </c>
      <c r="AJ20" s="11">
        <v>1715.1210000247579</v>
      </c>
      <c r="AK20" s="171">
        <v>1718.0440000257245</v>
      </c>
      <c r="AL20" s="11">
        <v>1720.9670000086526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3">
      <c r="L21" s="82" t="str">
        <f>'Ind T4'!A23</f>
        <v>Accommodation and food</v>
      </c>
      <c r="M21" s="11">
        <v>1624.9979999896614</v>
      </c>
      <c r="N21" s="11">
        <v>1680.4279999929042</v>
      </c>
      <c r="O21" s="11">
        <v>1724.5850000026428</v>
      </c>
      <c r="P21" s="11">
        <v>1758.475000002725</v>
      </c>
      <c r="Q21" s="11">
        <v>1868.5960000132136</v>
      </c>
      <c r="R21" s="11">
        <v>1883.3990000314909</v>
      </c>
      <c r="S21" s="11">
        <v>1972.4480000231767</v>
      </c>
      <c r="T21" s="11">
        <v>2025.7860000317019</v>
      </c>
      <c r="U21" s="11">
        <v>2079.3970000307199</v>
      </c>
      <c r="V21" s="11">
        <v>2121.9480000300359</v>
      </c>
      <c r="W21" s="11">
        <v>2036.099000009757</v>
      </c>
      <c r="X21" s="11">
        <v>1939.2339999864357</v>
      </c>
      <c r="Y21" s="11">
        <v>1980.368000026335</v>
      </c>
      <c r="Z21" s="11">
        <v>2035.3550000366652</v>
      </c>
      <c r="AA21" s="11">
        <v>2089.9870000259975</v>
      </c>
      <c r="AB21" s="11">
        <v>2133.4810000418465</v>
      </c>
      <c r="AC21" s="11">
        <v>2171.27400003192</v>
      </c>
      <c r="AD21" s="11">
        <v>2205.7880000310856</v>
      </c>
      <c r="AE21" s="11">
        <v>2238.4670000296528</v>
      </c>
      <c r="AF21" s="11">
        <v>2269.8500000331592</v>
      </c>
      <c r="AG21" s="11">
        <v>2300.7390000314685</v>
      </c>
      <c r="AH21" s="11">
        <v>2330.6950000349343</v>
      </c>
      <c r="AI21" s="11">
        <v>2359.8180000359221</v>
      </c>
      <c r="AJ21" s="11">
        <v>2387.9530000372474</v>
      </c>
      <c r="AK21" s="171">
        <v>2415.0830000450028</v>
      </c>
      <c r="AL21" s="11">
        <v>2441.3599999885669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3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3">
      <c r="L23" s="1" t="str">
        <f>'Ind T4'!A25</f>
        <v>Business and other services</v>
      </c>
      <c r="M23" s="86">
        <f>SUM(M24:M31)</f>
        <v>8200.2989999857436</v>
      </c>
      <c r="N23" s="86">
        <f t="shared" ref="N23:AL23" si="34">SUM(N24:N31)</f>
        <v>8279.3959999947765</v>
      </c>
      <c r="O23" s="86">
        <f t="shared" si="34"/>
        <v>8562.5259999756327</v>
      </c>
      <c r="P23" s="86">
        <f t="shared" si="34"/>
        <v>8747.4439999631431</v>
      </c>
      <c r="Q23" s="86">
        <f t="shared" si="34"/>
        <v>9335.5779999993047</v>
      </c>
      <c r="R23" s="86">
        <f t="shared" si="34"/>
        <v>9528.6389999687108</v>
      </c>
      <c r="S23" s="86">
        <f t="shared" si="34"/>
        <v>9735.5489999577403</v>
      </c>
      <c r="T23" s="86">
        <f t="shared" si="34"/>
        <v>9757.2949999792745</v>
      </c>
      <c r="U23" s="86">
        <f t="shared" si="34"/>
        <v>9841.5159999716052</v>
      </c>
      <c r="V23" s="86">
        <f t="shared" si="34"/>
        <v>10098.704999956528</v>
      </c>
      <c r="W23" s="86">
        <f t="shared" si="34"/>
        <v>9932.1719999788838</v>
      </c>
      <c r="X23" s="86">
        <f t="shared" si="34"/>
        <v>10059.769999965252</v>
      </c>
      <c r="Y23" s="86">
        <f t="shared" si="34"/>
        <v>10108.309000045241</v>
      </c>
      <c r="Z23" s="86">
        <f t="shared" si="34"/>
        <v>10175.854000037652</v>
      </c>
      <c r="AA23" s="86">
        <f t="shared" si="34"/>
        <v>10244.82300006152</v>
      </c>
      <c r="AB23" s="86">
        <f t="shared" si="34"/>
        <v>10297.576000100176</v>
      </c>
      <c r="AC23" s="86">
        <f t="shared" si="34"/>
        <v>10353.75200008856</v>
      </c>
      <c r="AD23" s="86">
        <f t="shared" si="34"/>
        <v>10409.153000126047</v>
      </c>
      <c r="AE23" s="86">
        <f t="shared" si="34"/>
        <v>10464.030000126988</v>
      </c>
      <c r="AF23" s="86">
        <f t="shared" si="34"/>
        <v>10519.501000143826</v>
      </c>
      <c r="AG23" s="86">
        <f t="shared" si="34"/>
        <v>10578.028000143624</v>
      </c>
      <c r="AH23" s="86">
        <f t="shared" si="34"/>
        <v>10635.377000133294</v>
      </c>
      <c r="AI23" s="86">
        <f t="shared" si="34"/>
        <v>10693.1750001534</v>
      </c>
      <c r="AJ23" s="86">
        <f t="shared" si="34"/>
        <v>10750.830000146543</v>
      </c>
      <c r="AK23" s="86">
        <f t="shared" si="34"/>
        <v>10808.07600012942</v>
      </c>
      <c r="AL23" s="86">
        <f t="shared" si="34"/>
        <v>10865.118000035864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3">
      <c r="L24" s="82" t="str">
        <f>'Ind T4'!A26</f>
        <v>Media</v>
      </c>
      <c r="M24" s="11">
        <v>297.47599999896363</v>
      </c>
      <c r="N24" s="11">
        <v>323.32300000137042</v>
      </c>
      <c r="O24" s="11">
        <v>344.85499999855534</v>
      </c>
      <c r="P24" s="11">
        <v>314.64499999820231</v>
      </c>
      <c r="Q24" s="11">
        <v>347.28600000039074</v>
      </c>
      <c r="R24" s="11">
        <v>339.44299999972969</v>
      </c>
      <c r="S24" s="11">
        <v>329.19299999896765</v>
      </c>
      <c r="T24" s="11">
        <v>355.05599999933003</v>
      </c>
      <c r="U24" s="11">
        <v>342.37499999939416</v>
      </c>
      <c r="V24" s="11">
        <v>345.15599999886933</v>
      </c>
      <c r="W24" s="11">
        <v>348.3700000007226</v>
      </c>
      <c r="X24" s="11">
        <v>349.33499999975834</v>
      </c>
      <c r="Y24" s="11">
        <v>350.37200000373412</v>
      </c>
      <c r="Z24" s="11">
        <v>351.28300000346871</v>
      </c>
      <c r="AA24" s="11">
        <v>352.29600000434715</v>
      </c>
      <c r="AB24" s="11">
        <v>352.73400000536958</v>
      </c>
      <c r="AC24" s="11">
        <v>353.15900000528467</v>
      </c>
      <c r="AD24" s="11">
        <v>353.53900000708865</v>
      </c>
      <c r="AE24" s="11">
        <v>353.9320000073692</v>
      </c>
      <c r="AF24" s="11">
        <v>354.28300000758003</v>
      </c>
      <c r="AG24" s="11">
        <v>354.60800000751021</v>
      </c>
      <c r="AH24" s="11">
        <v>354.94100000676161</v>
      </c>
      <c r="AI24" s="11">
        <v>355.31100000786819</v>
      </c>
      <c r="AJ24" s="11">
        <v>355.70800000743577</v>
      </c>
      <c r="AK24" s="171">
        <v>356.1510000063127</v>
      </c>
      <c r="AL24" s="11">
        <v>356.61500000332785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3">
      <c r="L25" s="82" t="str">
        <f>'Ind T4'!A27</f>
        <v>Information technology</v>
      </c>
      <c r="M25" s="11">
        <v>760.80999999950143</v>
      </c>
      <c r="N25" s="11">
        <v>793.28199999912658</v>
      </c>
      <c r="O25" s="11">
        <v>759.54099999646849</v>
      </c>
      <c r="P25" s="11">
        <v>839.66399999475368</v>
      </c>
      <c r="Q25" s="11">
        <v>884.56800000016915</v>
      </c>
      <c r="R25" s="11">
        <v>935.88699998858351</v>
      </c>
      <c r="S25" s="11">
        <v>968.17699999131958</v>
      </c>
      <c r="T25" s="11">
        <v>1004.0979999941973</v>
      </c>
      <c r="U25" s="11">
        <v>1000.2089999904343</v>
      </c>
      <c r="V25" s="11">
        <v>995.0659999885371</v>
      </c>
      <c r="W25" s="11">
        <v>1001.0999999953331</v>
      </c>
      <c r="X25" s="11">
        <v>1024.0999999944668</v>
      </c>
      <c r="Y25" s="11">
        <v>1032.6090000011227</v>
      </c>
      <c r="Z25" s="11">
        <v>1050.4779999983855</v>
      </c>
      <c r="AA25" s="11">
        <v>1064.3580000043389</v>
      </c>
      <c r="AB25" s="11">
        <v>1075.749000006987</v>
      </c>
      <c r="AC25" s="11">
        <v>1086.2860000040953</v>
      </c>
      <c r="AD25" s="11">
        <v>1095.3710000068772</v>
      </c>
      <c r="AE25" s="11">
        <v>1103.9430000054438</v>
      </c>
      <c r="AF25" s="11">
        <v>1112.4430000087971</v>
      </c>
      <c r="AG25" s="11">
        <v>1121.4120000073865</v>
      </c>
      <c r="AH25" s="11">
        <v>1130.1960000090132</v>
      </c>
      <c r="AI25" s="11">
        <v>1138.7620000112292</v>
      </c>
      <c r="AJ25" s="11">
        <v>1146.950000007703</v>
      </c>
      <c r="AK25" s="171">
        <v>1154.6540000078676</v>
      </c>
      <c r="AL25" s="11">
        <v>1161.9129999989968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3">
      <c r="L26" s="82" t="str">
        <f>'Ind T4'!A28</f>
        <v>Finance and insurance</v>
      </c>
      <c r="M26" s="11">
        <v>983.25899999651756</v>
      </c>
      <c r="N26" s="11">
        <v>991.01400000012654</v>
      </c>
      <c r="O26" s="11">
        <v>1001.8109999942345</v>
      </c>
      <c r="P26" s="11">
        <v>977.59199999368445</v>
      </c>
      <c r="Q26" s="11">
        <v>990.06599999962862</v>
      </c>
      <c r="R26" s="11">
        <v>974.2699999908973</v>
      </c>
      <c r="S26" s="11">
        <v>980.93799999198711</v>
      </c>
      <c r="T26" s="11">
        <v>974.26699999793243</v>
      </c>
      <c r="U26" s="11">
        <v>966.4309999930922</v>
      </c>
      <c r="V26" s="11">
        <v>998.31399998994914</v>
      </c>
      <c r="W26" s="11">
        <v>1005.1659999970919</v>
      </c>
      <c r="X26" s="11">
        <v>1022.1579999953404</v>
      </c>
      <c r="Y26" s="11">
        <v>1019.1320000059433</v>
      </c>
      <c r="Z26" s="11">
        <v>1015.4570000038115</v>
      </c>
      <c r="AA26" s="11">
        <v>1010.0940000075849</v>
      </c>
      <c r="AB26" s="11">
        <v>1006.8290000143252</v>
      </c>
      <c r="AC26" s="11">
        <v>1004.6940000130371</v>
      </c>
      <c r="AD26" s="11">
        <v>1002.4470000159714</v>
      </c>
      <c r="AE26" s="11">
        <v>1000.1190000143546</v>
      </c>
      <c r="AF26" s="11">
        <v>997.7390000185394</v>
      </c>
      <c r="AG26" s="11">
        <v>995.58800001693612</v>
      </c>
      <c r="AH26" s="11">
        <v>992.80400001632165</v>
      </c>
      <c r="AI26" s="11">
        <v>990.04400001912404</v>
      </c>
      <c r="AJ26" s="11">
        <v>987.29100001738198</v>
      </c>
      <c r="AK26" s="171">
        <v>984.51500001730903</v>
      </c>
      <c r="AL26" s="11">
        <v>981.78100000498796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3">
      <c r="L27" s="82" t="str">
        <f>'Ind T4'!A29</f>
        <v>Real estate</v>
      </c>
      <c r="M27" s="11">
        <v>432.79799999899893</v>
      </c>
      <c r="N27" s="11">
        <v>408.45199999886876</v>
      </c>
      <c r="O27" s="11">
        <v>429.84799999809735</v>
      </c>
      <c r="P27" s="11">
        <v>475.35799999767914</v>
      </c>
      <c r="Q27" s="11">
        <v>481.40299999926714</v>
      </c>
      <c r="R27" s="11">
        <v>499.70899999841942</v>
      </c>
      <c r="S27" s="11">
        <v>510.63899999778744</v>
      </c>
      <c r="T27" s="11">
        <v>482.55199999992118</v>
      </c>
      <c r="U27" s="11">
        <v>492.30799999926938</v>
      </c>
      <c r="V27" s="11">
        <v>512.23999999889179</v>
      </c>
      <c r="W27" s="11">
        <v>566.08499999823994</v>
      </c>
      <c r="X27" s="11">
        <v>558.75399999780313</v>
      </c>
      <c r="Y27" s="11">
        <v>550.23500000167564</v>
      </c>
      <c r="Z27" s="11">
        <v>545.76300000134177</v>
      </c>
      <c r="AA27" s="11">
        <v>545.35300000186226</v>
      </c>
      <c r="AB27" s="11">
        <v>548.04900000477232</v>
      </c>
      <c r="AC27" s="11">
        <v>552.08000000373568</v>
      </c>
      <c r="AD27" s="11">
        <v>556.75700000543804</v>
      </c>
      <c r="AE27" s="11">
        <v>561.76500000464966</v>
      </c>
      <c r="AF27" s="11">
        <v>566.92600000593029</v>
      </c>
      <c r="AG27" s="11">
        <v>572.13100000607164</v>
      </c>
      <c r="AH27" s="11">
        <v>577.38000000559373</v>
      </c>
      <c r="AI27" s="11">
        <v>582.61700000673238</v>
      </c>
      <c r="AJ27" s="11">
        <v>587.79400000652981</v>
      </c>
      <c r="AK27" s="171">
        <v>592.88300000627532</v>
      </c>
      <c r="AL27" s="11">
        <v>597.86399999991784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3">
      <c r="L28" s="82" t="str">
        <f>'Ind T4'!A30</f>
        <v>Professional services</v>
      </c>
      <c r="M28" s="11">
        <v>2143.0900000010843</v>
      </c>
      <c r="N28" s="11">
        <v>2134.6040000009011</v>
      </c>
      <c r="O28" s="11">
        <v>2241.9039999856136</v>
      </c>
      <c r="P28" s="11">
        <v>2332.218999982736</v>
      </c>
      <c r="Q28" s="11">
        <v>2540.3679999990341</v>
      </c>
      <c r="R28" s="11">
        <v>2607.9309999661605</v>
      </c>
      <c r="S28" s="11">
        <v>2696.4509999721122</v>
      </c>
      <c r="T28" s="11">
        <v>2673.5109999787364</v>
      </c>
      <c r="U28" s="11">
        <v>2706.9349999694805</v>
      </c>
      <c r="V28" s="11">
        <v>2881.7529999625126</v>
      </c>
      <c r="W28" s="11">
        <v>2807.1649999882247</v>
      </c>
      <c r="X28" s="11">
        <v>2862.2169999843818</v>
      </c>
      <c r="Y28" s="11">
        <v>2881.2660000096439</v>
      </c>
      <c r="Z28" s="11">
        <v>2904.8620000038959</v>
      </c>
      <c r="AA28" s="11">
        <v>2929.5990000202287</v>
      </c>
      <c r="AB28" s="11">
        <v>2948.756000032356</v>
      </c>
      <c r="AC28" s="11">
        <v>2966.3190000308214</v>
      </c>
      <c r="AD28" s="11">
        <v>2984.5950000400512</v>
      </c>
      <c r="AE28" s="11">
        <v>3003.446000042813</v>
      </c>
      <c r="AF28" s="11">
        <v>3022.994000052181</v>
      </c>
      <c r="AG28" s="11">
        <v>3043.1240000502298</v>
      </c>
      <c r="AH28" s="11">
        <v>3062.6470000470817</v>
      </c>
      <c r="AI28" s="11">
        <v>3082.2100000535279</v>
      </c>
      <c r="AJ28" s="11">
        <v>3101.774000049566</v>
      </c>
      <c r="AK28" s="171">
        <v>3121.304000048473</v>
      </c>
      <c r="AL28" s="11">
        <v>3140.8240000163005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3">
      <c r="L29" s="82" t="str">
        <f>'Ind T4'!A31</f>
        <v>Support services</v>
      </c>
      <c r="M29" s="11">
        <v>2093.1599999953019</v>
      </c>
      <c r="N29" s="11">
        <v>2118.5259999962964</v>
      </c>
      <c r="O29" s="11">
        <v>2265.3050000050807</v>
      </c>
      <c r="P29" s="11">
        <v>2259.9250000021561</v>
      </c>
      <c r="Q29" s="11">
        <v>2442.016000000016</v>
      </c>
      <c r="R29" s="11">
        <v>2500.2860000175156</v>
      </c>
      <c r="S29" s="11">
        <v>2603.3090000076581</v>
      </c>
      <c r="T29" s="11">
        <v>2613.9500000120224</v>
      </c>
      <c r="U29" s="11">
        <v>2626.9930000152895</v>
      </c>
      <c r="V29" s="11">
        <v>2639.3450000139492</v>
      </c>
      <c r="W29" s="11">
        <v>2483.2400000000939</v>
      </c>
      <c r="X29" s="11">
        <v>2520.4769999979649</v>
      </c>
      <c r="Y29" s="11">
        <v>2566.6380000093286</v>
      </c>
      <c r="Z29" s="11">
        <v>2592.961000011901</v>
      </c>
      <c r="AA29" s="11">
        <v>2613.9030000062089</v>
      </c>
      <c r="AB29" s="11">
        <v>2630.4030000153866</v>
      </c>
      <c r="AC29" s="11">
        <v>2648.9650000124429</v>
      </c>
      <c r="AD29" s="11">
        <v>2667.2480000167016</v>
      </c>
      <c r="AE29" s="11">
        <v>2685.3820000152859</v>
      </c>
      <c r="AF29" s="11">
        <v>2703.513000014495</v>
      </c>
      <c r="AG29" s="11">
        <v>2722.1740000176997</v>
      </c>
      <c r="AH29" s="11">
        <v>2740.1770000138599</v>
      </c>
      <c r="AI29" s="11">
        <v>2758.20300001635</v>
      </c>
      <c r="AJ29" s="11">
        <v>2776.247000018725</v>
      </c>
      <c r="AK29" s="171">
        <v>2794.3160000159642</v>
      </c>
      <c r="AL29" s="11">
        <v>2812.4619999993538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3">
      <c r="L30" s="82" t="str">
        <f>'Ind T4'!A32</f>
        <v>Arts and entertainment</v>
      </c>
      <c r="M30" s="11">
        <v>725.12999999931753</v>
      </c>
      <c r="N30" s="11">
        <v>733.99999999981765</v>
      </c>
      <c r="O30" s="11">
        <v>762.80700000001661</v>
      </c>
      <c r="P30" s="11">
        <v>768.14899999827071</v>
      </c>
      <c r="Q30" s="11">
        <v>803.96300000198312</v>
      </c>
      <c r="R30" s="11">
        <v>835.68700000489434</v>
      </c>
      <c r="S30" s="11">
        <v>810.65900000023544</v>
      </c>
      <c r="T30" s="11">
        <v>828.30599999962283</v>
      </c>
      <c r="U30" s="11">
        <v>861.21200000196563</v>
      </c>
      <c r="V30" s="11">
        <v>862.71200000122587</v>
      </c>
      <c r="W30" s="11">
        <v>864.73800000184235</v>
      </c>
      <c r="X30" s="11">
        <v>872.54299999958789</v>
      </c>
      <c r="Y30" s="11">
        <v>862.31200000901367</v>
      </c>
      <c r="Z30" s="11">
        <v>867.61300000984966</v>
      </c>
      <c r="AA30" s="11">
        <v>879.46700001133843</v>
      </c>
      <c r="AB30" s="11">
        <v>885.60900001319476</v>
      </c>
      <c r="AC30" s="11">
        <v>893.5300000127861</v>
      </c>
      <c r="AD30" s="11">
        <v>901.06400001909719</v>
      </c>
      <c r="AE30" s="11">
        <v>907.59500002192192</v>
      </c>
      <c r="AF30" s="11">
        <v>913.66700002092728</v>
      </c>
      <c r="AG30" s="11">
        <v>920.38700002198902</v>
      </c>
      <c r="AH30" s="11">
        <v>927.61200001978705</v>
      </c>
      <c r="AI30" s="11">
        <v>935.12400002235859</v>
      </c>
      <c r="AJ30" s="11">
        <v>942.67000002248062</v>
      </c>
      <c r="AK30" s="171">
        <v>950.1500000170704</v>
      </c>
      <c r="AL30" s="11">
        <v>957.5750000091665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3">
      <c r="L31" s="82" t="str">
        <f>'Ind T4'!A33</f>
        <v>Other services</v>
      </c>
      <c r="M31" s="11">
        <v>764.57599999605839</v>
      </c>
      <c r="N31" s="11">
        <v>776.19499999826894</v>
      </c>
      <c r="O31" s="11">
        <v>756.45499999756589</v>
      </c>
      <c r="P31" s="11">
        <v>779.89199999566119</v>
      </c>
      <c r="Q31" s="11">
        <v>845.90799999881631</v>
      </c>
      <c r="R31" s="11">
        <v>835.42600000250957</v>
      </c>
      <c r="S31" s="11">
        <v>836.18299999767214</v>
      </c>
      <c r="T31" s="11">
        <v>825.55499999751271</v>
      </c>
      <c r="U31" s="11">
        <v>845.05300000267914</v>
      </c>
      <c r="V31" s="11">
        <v>864.11900000259277</v>
      </c>
      <c r="W31" s="11">
        <v>856.30799999733563</v>
      </c>
      <c r="X31" s="11">
        <v>850.18599999594915</v>
      </c>
      <c r="Y31" s="11">
        <v>845.74500000478099</v>
      </c>
      <c r="Z31" s="11">
        <v>847.43700000499814</v>
      </c>
      <c r="AA31" s="11">
        <v>849.75300000561231</v>
      </c>
      <c r="AB31" s="11">
        <v>849.44700000778357</v>
      </c>
      <c r="AC31" s="11">
        <v>848.71900000635605</v>
      </c>
      <c r="AD31" s="11">
        <v>848.13200001482107</v>
      </c>
      <c r="AE31" s="11">
        <v>847.848000015151</v>
      </c>
      <c r="AF31" s="11">
        <v>847.93600001537527</v>
      </c>
      <c r="AG31" s="11">
        <v>848.60400001580285</v>
      </c>
      <c r="AH31" s="11">
        <v>849.62000001487672</v>
      </c>
      <c r="AI31" s="11">
        <v>850.90400001620992</v>
      </c>
      <c r="AJ31" s="11">
        <v>852.39600001672068</v>
      </c>
      <c r="AK31" s="171">
        <v>854.10300001014696</v>
      </c>
      <c r="AL31" s="11">
        <v>856.08400000381187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3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3">
      <c r="L33" s="1" t="str">
        <f>'Ind T4'!A35</f>
        <v>Non-marketed services</v>
      </c>
      <c r="M33" s="86">
        <f>SUM(M34:M36)</f>
        <v>6828.4690000801638</v>
      </c>
      <c r="N33" s="86">
        <f t="shared" ref="N33:P33" si="35">SUM(N34:N36)</f>
        <v>6756.340000071481</v>
      </c>
      <c r="O33" s="86">
        <f t="shared" si="35"/>
        <v>6747.5740000710603</v>
      </c>
      <c r="P33" s="86">
        <f t="shared" si="35"/>
        <v>6876.4380000889469</v>
      </c>
      <c r="Q33" s="86">
        <f>SUM(Q34:Q36)</f>
        <v>7005.0639999851373</v>
      </c>
      <c r="R33" s="86">
        <f t="shared" ref="R33" si="36">SUM(R34:R36)</f>
        <v>7049.2849999266728</v>
      </c>
      <c r="S33" s="86">
        <f t="shared" ref="S33" si="37">SUM(S34:S36)</f>
        <v>7114.7649999842588</v>
      </c>
      <c r="T33" s="86">
        <f t="shared" ref="T33" si="38">SUM(T34:T36)</f>
        <v>7163.4749998905318</v>
      </c>
      <c r="U33" s="86">
        <f t="shared" ref="U33" si="39">SUM(U34:U36)</f>
        <v>7156.7549998943869</v>
      </c>
      <c r="V33" s="86">
        <f t="shared" ref="V33" si="40">SUM(V34:V36)</f>
        <v>7255.9809999418121</v>
      </c>
      <c r="W33" s="86">
        <f t="shared" ref="W33" si="41">SUM(W34:W36)</f>
        <v>7286.2549999996081</v>
      </c>
      <c r="X33" s="86">
        <f t="shared" ref="X33" si="42">SUM(X34:X36)</f>
        <v>7344.6140001238564</v>
      </c>
      <c r="Y33" s="86">
        <f t="shared" ref="Y33" si="43">SUM(Y34:Y36)</f>
        <v>7396.1379998995726</v>
      </c>
      <c r="Z33" s="86">
        <f t="shared" ref="Z33" si="44">SUM(Z34:Z36)</f>
        <v>7447.356999874708</v>
      </c>
      <c r="AA33" s="86">
        <f t="shared" ref="AA33" si="45">SUM(AA34:AA36)</f>
        <v>7511.6519999116699</v>
      </c>
      <c r="AB33" s="86">
        <f t="shared" ref="AB33" si="46">SUM(AB34:AB36)</f>
        <v>7562.11099980158</v>
      </c>
      <c r="AC33" s="86">
        <f t="shared" ref="AC33" si="47">SUM(AC34:AC36)</f>
        <v>7599.5509998383104</v>
      </c>
      <c r="AD33" s="86">
        <f t="shared" ref="AD33" si="48">SUM(AD34:AD36)</f>
        <v>7634.9999998051808</v>
      </c>
      <c r="AE33" s="86">
        <f t="shared" ref="AE33" si="49">SUM(AE34:AE36)</f>
        <v>7670.1289998248594</v>
      </c>
      <c r="AF33" s="86">
        <f t="shared" ref="AF33" si="50">SUM(AF34:AF36)</f>
        <v>7705.6579998037741</v>
      </c>
      <c r="AG33" s="86">
        <f t="shared" ref="AG33:AL33" si="51">SUM(AG34:AG36)</f>
        <v>7743.173999803912</v>
      </c>
      <c r="AH33" s="86">
        <f t="shared" si="51"/>
        <v>7780.4879998074612</v>
      </c>
      <c r="AI33" s="86">
        <f t="shared" si="51"/>
        <v>7817.7619997908987</v>
      </c>
      <c r="AJ33" s="86">
        <f t="shared" si="51"/>
        <v>7855.2439997682313</v>
      </c>
      <c r="AK33" s="86">
        <f t="shared" si="51"/>
        <v>7893.0809997838751</v>
      </c>
      <c r="AL33" s="86">
        <f t="shared" si="51"/>
        <v>7931.3150000336327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3">
      <c r="L34" s="82" t="str">
        <f>'Ind T4'!A36</f>
        <v>Public admin. and defence</v>
      </c>
      <c r="M34" s="11">
        <v>1245.621000002978</v>
      </c>
      <c r="N34" s="11">
        <v>1159.4129999991126</v>
      </c>
      <c r="O34" s="11">
        <v>1107.3339999966631</v>
      </c>
      <c r="P34" s="11">
        <v>1093.0559999979532</v>
      </c>
      <c r="Q34" s="11">
        <v>1091.3729999962866</v>
      </c>
      <c r="R34" s="11">
        <v>1050.7089999919901</v>
      </c>
      <c r="S34" s="11">
        <v>1037.888999994032</v>
      </c>
      <c r="T34" s="11">
        <v>1035.2469999940065</v>
      </c>
      <c r="U34" s="11">
        <v>1048.7939999940832</v>
      </c>
      <c r="V34" s="11">
        <v>1063.7109999941283</v>
      </c>
      <c r="W34" s="11">
        <v>1106.4329999965846</v>
      </c>
      <c r="X34" s="11">
        <v>1109.2669999976115</v>
      </c>
      <c r="Y34" s="11">
        <v>1119.231999999261</v>
      </c>
      <c r="Z34" s="11">
        <v>1124.7779999980548</v>
      </c>
      <c r="AA34" s="11">
        <v>1131.8160000010816</v>
      </c>
      <c r="AB34" s="11">
        <v>1135.5730000018098</v>
      </c>
      <c r="AC34" s="11">
        <v>1137.8700000025217</v>
      </c>
      <c r="AD34" s="11">
        <v>1140.1490000042311</v>
      </c>
      <c r="AE34" s="11">
        <v>1142.4200000041515</v>
      </c>
      <c r="AF34" s="11">
        <v>1144.687000005971</v>
      </c>
      <c r="AG34" s="11">
        <v>1146.9890000056826</v>
      </c>
      <c r="AH34" s="11">
        <v>1149.1990000055082</v>
      </c>
      <c r="AI34" s="11">
        <v>1151.4220000058515</v>
      </c>
      <c r="AJ34" s="11">
        <v>1153.6280000047395</v>
      </c>
      <c r="AK34" s="171">
        <v>1155.8330000051371</v>
      </c>
      <c r="AL34" s="11">
        <v>1158.0480000032949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3">
      <c r="L35" s="82" t="str">
        <f>'Ind T4'!A37</f>
        <v>Education</v>
      </c>
      <c r="M35" s="11">
        <v>2349.7920000403046</v>
      </c>
      <c r="N35" s="11">
        <v>2328.434000047067</v>
      </c>
      <c r="O35" s="11">
        <v>2355.5810000448514</v>
      </c>
      <c r="P35" s="11">
        <v>2409.3090000555685</v>
      </c>
      <c r="Q35" s="11">
        <v>2466.0289999994461</v>
      </c>
      <c r="R35" s="11">
        <v>2527.3159999829504</v>
      </c>
      <c r="S35" s="11">
        <v>2549.8929999975603</v>
      </c>
      <c r="T35" s="11">
        <v>2508.3709999225484</v>
      </c>
      <c r="U35" s="11">
        <v>2525.9009999467689</v>
      </c>
      <c r="V35" s="11">
        <v>2523.798999987217</v>
      </c>
      <c r="W35" s="11">
        <v>2531.7800000098377</v>
      </c>
      <c r="X35" s="11">
        <v>2523.7530000923148</v>
      </c>
      <c r="Y35" s="11">
        <v>2517.9739999255053</v>
      </c>
      <c r="Z35" s="11">
        <v>2523.6319999118523</v>
      </c>
      <c r="AA35" s="11">
        <v>2532.3849999376885</v>
      </c>
      <c r="AB35" s="11">
        <v>2543.3239998348904</v>
      </c>
      <c r="AC35" s="11">
        <v>2550.0489998616472</v>
      </c>
      <c r="AD35" s="11">
        <v>2556.9479998646243</v>
      </c>
      <c r="AE35" s="11">
        <v>2564.2159998879506</v>
      </c>
      <c r="AF35" s="11">
        <v>2572.1239998704868</v>
      </c>
      <c r="AG35" s="11">
        <v>2582.1849998678217</v>
      </c>
      <c r="AH35" s="11">
        <v>2592.3189998799803</v>
      </c>
      <c r="AI35" s="11">
        <v>2602.4839998661332</v>
      </c>
      <c r="AJ35" s="11">
        <v>2612.6879998563386</v>
      </c>
      <c r="AK35" s="171">
        <v>2622.9369998462957</v>
      </c>
      <c r="AL35" s="11">
        <v>2633.2330000334459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3">
      <c r="L36" s="82" t="str">
        <f>'Ind T4'!A38</f>
        <v>Health and social work</v>
      </c>
      <c r="M36" s="11">
        <v>3233.0560000368814</v>
      </c>
      <c r="N36" s="11">
        <v>3268.4930000253012</v>
      </c>
      <c r="O36" s="11">
        <v>3284.6590000295455</v>
      </c>
      <c r="P36" s="11">
        <v>3374.0730000354247</v>
      </c>
      <c r="Q36" s="11">
        <v>3447.6619999894046</v>
      </c>
      <c r="R36" s="11">
        <v>3471.2599999517329</v>
      </c>
      <c r="S36" s="11">
        <v>3526.9829999926665</v>
      </c>
      <c r="T36" s="11">
        <v>3619.8569999739766</v>
      </c>
      <c r="U36" s="11">
        <v>3582.0599999535343</v>
      </c>
      <c r="V36" s="11">
        <v>3668.4709999604661</v>
      </c>
      <c r="W36" s="11">
        <v>3648.0419999931851</v>
      </c>
      <c r="X36" s="11">
        <v>3711.5940000339301</v>
      </c>
      <c r="Y36" s="11">
        <v>3758.9319999748059</v>
      </c>
      <c r="Z36" s="11">
        <v>3798.9469999648004</v>
      </c>
      <c r="AA36" s="11">
        <v>3847.4509999729003</v>
      </c>
      <c r="AB36" s="11">
        <v>3883.2139999648793</v>
      </c>
      <c r="AC36" s="11">
        <v>3911.6319999741418</v>
      </c>
      <c r="AD36" s="11">
        <v>3937.9029999363256</v>
      </c>
      <c r="AE36" s="11">
        <v>3963.4929999327574</v>
      </c>
      <c r="AF36" s="11">
        <v>3988.8469999273161</v>
      </c>
      <c r="AG36" s="11">
        <v>4013.9999999304073</v>
      </c>
      <c r="AH36" s="11">
        <v>4038.9699999219724</v>
      </c>
      <c r="AI36" s="11">
        <v>4063.8559999189138</v>
      </c>
      <c r="AJ36" s="11">
        <v>4088.9279999071532</v>
      </c>
      <c r="AK36" s="171">
        <v>4114.3109999324424</v>
      </c>
      <c r="AL36" s="11">
        <v>4140.0339999968919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3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3">
      <c r="L38" s="1" t="str">
        <f>'Ind T4'!A40</f>
        <v>All industries</v>
      </c>
      <c r="M38" s="86">
        <f>SUM(M5,M11,M16,M18,M23,M33)</f>
        <v>26471.260999999191</v>
      </c>
      <c r="N38" s="86">
        <f t="shared" ref="N38:P38" si="52">SUM(N5,N11,N16,N18,N23,N33)</f>
        <v>26495.598999998816</v>
      </c>
      <c r="O38" s="86">
        <f t="shared" si="52"/>
        <v>27004.439000000286</v>
      </c>
      <c r="P38" s="86">
        <f t="shared" si="52"/>
        <v>27167.130999998259</v>
      </c>
      <c r="Q38" s="86">
        <f>SUM(Q5,Q11,Q16,Q18,Q23,Q33)</f>
        <v>28227.37099999694</v>
      </c>
      <c r="R38" s="86">
        <f t="shared" ref="R38:AL38" si="53">SUM(R5,R11,R16,R18,R23,R33)</f>
        <v>28656.171999997761</v>
      </c>
      <c r="S38" s="86">
        <f t="shared" si="53"/>
        <v>29271.389999995688</v>
      </c>
      <c r="T38" s="86">
        <f t="shared" si="53"/>
        <v>29560.386999995244</v>
      </c>
      <c r="U38" s="86">
        <f t="shared" si="53"/>
        <v>29694.024999995778</v>
      </c>
      <c r="V38" s="86">
        <f t="shared" si="53"/>
        <v>30212.759999993876</v>
      </c>
      <c r="W38" s="86">
        <f t="shared" si="53"/>
        <v>29859.680999995031</v>
      </c>
      <c r="X38" s="86">
        <f t="shared" si="53"/>
        <v>30001.118999996728</v>
      </c>
      <c r="Y38" s="86">
        <f t="shared" si="53"/>
        <v>30149.171000000653</v>
      </c>
      <c r="Z38" s="86">
        <f t="shared" si="53"/>
        <v>30361.639999999785</v>
      </c>
      <c r="AA38" s="86">
        <f t="shared" si="53"/>
        <v>30593.801999999887</v>
      </c>
      <c r="AB38" s="86">
        <f t="shared" si="53"/>
        <v>30754.748000010033</v>
      </c>
      <c r="AC38" s="86">
        <f t="shared" si="53"/>
        <v>30893.187000010108</v>
      </c>
      <c r="AD38" s="86">
        <f>SUM(AD5,AD11,AD16,AD18,AD23,AD33)</f>
        <v>31018.91400001054</v>
      </c>
      <c r="AE38" s="86">
        <f t="shared" si="53"/>
        <v>31143.820000009073</v>
      </c>
      <c r="AF38" s="86">
        <f t="shared" si="53"/>
        <v>31267.824000011391</v>
      </c>
      <c r="AG38" s="86">
        <f t="shared" si="53"/>
        <v>31402.526000012826</v>
      </c>
      <c r="AH38" s="86">
        <f t="shared" si="53"/>
        <v>31534.749000010022</v>
      </c>
      <c r="AI38" s="86">
        <f t="shared" si="53"/>
        <v>31667.528000011902</v>
      </c>
      <c r="AJ38" s="86">
        <f t="shared" si="53"/>
        <v>31801.975000013124</v>
      </c>
      <c r="AK38" s="86">
        <f t="shared" si="53"/>
        <v>31935.797000010956</v>
      </c>
      <c r="AL38" s="86">
        <f t="shared" si="53"/>
        <v>32070.090999998909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3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3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3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3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3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3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3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3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45" x14ac:dyDescent="0.4">
      <c r="A47" s="79" t="str">
        <f>CONCATENATE("Industry Figure 2.1  Change in Employment in ",$L$5,", ",$M$2,"-",$O$2,", ",Info!B5)</f>
        <v>Industry Figure 2.1  Change in Employment in Primary sector and utilities, 2010-2035, England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3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3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3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3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3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3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3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3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3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3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3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3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3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3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3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3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3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3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3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3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3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3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3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3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3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3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3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3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3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45" x14ac:dyDescent="0.4">
      <c r="A77" s="79" t="str">
        <f>CONCATENATE("Industry Figure 2.2  Change in Employment in ",$L$11,", ",$M$2,"-",$O$2,", ",Info!B5)</f>
        <v>Industry Figure 2.2  Change in Employment in Manufacturing, 2010-2035, England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3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3">
      <c r="AL79" s="11"/>
    </row>
    <row r="107" spans="1:1" ht="15.45" x14ac:dyDescent="0.4">
      <c r="A107" s="79" t="str">
        <f>CONCATENATE("Industry Figure 2.3  Change in Employment in ",$L$16,", ",$M$2,"-",$O$2,", ",Info!B5)</f>
        <v>Industry Figure 2.3  Change in Employment in Construction, 2010-2035, England</v>
      </c>
    </row>
    <row r="137" spans="1:1" ht="15.45" x14ac:dyDescent="0.4">
      <c r="A137" s="79" t="str">
        <f>CONCATENATE("Industry Figure 2.4  Change in Employment in ",$L$18,", ",$M$2,"-",$O$2,", ",Info!B5)</f>
        <v>Industry Figure 2.4  Change in Employment in Trade, accomod. and transport, 2010-2035, England</v>
      </c>
    </row>
    <row r="167" spans="1:1" ht="15.45" x14ac:dyDescent="0.4">
      <c r="A167" s="79" t="str">
        <f>CONCATENATE("Industry Figure 2.5  Change in Employment in ",$L$23,", ",$M$2,"- ",$O$2,", ",Info!B5)</f>
        <v>Industry Figure 2.5  Change in Employment in Business and other services, 2010- 2035, England</v>
      </c>
    </row>
    <row r="197" spans="1:1" ht="15.45" x14ac:dyDescent="0.4">
      <c r="A197" s="79" t="str">
        <f>CONCATENATE("Industry Figure 2.6  Change in Employment in ",$L$33,", ",$M$2,"-",$O$2,", ",Info!B5)</f>
        <v>Industry Figure 2.6  Change in Employment in Non-marketed services, 2010-2035, England</v>
      </c>
    </row>
    <row r="227" spans="1:15" ht="15.45" x14ac:dyDescent="0.4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England</v>
      </c>
      <c r="L227" s="45" t="s">
        <v>440</v>
      </c>
    </row>
    <row r="228" spans="1:15" ht="12.9" x14ac:dyDescent="0.35">
      <c r="L228" s="29" t="s">
        <v>421</v>
      </c>
    </row>
    <row r="230" spans="1:15" x14ac:dyDescent="0.3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3">
      <c r="L231" t="str">
        <f>L33</f>
        <v>Non-marketed services</v>
      </c>
      <c r="M231" s="39">
        <f>'Ind T1'!B25</f>
        <v>24.59953478757464</v>
      </c>
      <c r="N231" s="39">
        <f>'Ind T1'!D25</f>
        <v>24.401650506583845</v>
      </c>
      <c r="O231" s="39">
        <f>'Ind T1'!F25</f>
        <v>24.73118956860429</v>
      </c>
    </row>
    <row r="232" spans="1:15" x14ac:dyDescent="0.3">
      <c r="L232" t="str">
        <f>L23</f>
        <v>Business and other services</v>
      </c>
      <c r="M232" s="39">
        <f>'Ind T1'!B24</f>
        <v>33.251611554988756</v>
      </c>
      <c r="N232" s="39">
        <f>'Ind T1'!D24</f>
        <v>33.26282018880422</v>
      </c>
      <c r="O232" s="39">
        <f>'Ind T1'!F24</f>
        <v>33.879286466746329</v>
      </c>
    </row>
    <row r="233" spans="1:15" x14ac:dyDescent="0.3">
      <c r="L233" t="str">
        <f>L18</f>
        <v>Trade, accomod. and transport</v>
      </c>
      <c r="M233" s="39">
        <f>'Ind T1'!B23</f>
        <v>26.259808882083448</v>
      </c>
      <c r="N233" s="39">
        <f>'Ind T1'!D23</f>
        <v>26.385094335233529</v>
      </c>
      <c r="O233" s="39">
        <f>'Ind T1'!F23</f>
        <v>26.47574339587986</v>
      </c>
    </row>
    <row r="234" spans="1:15" x14ac:dyDescent="0.3">
      <c r="L234" t="str">
        <f>L16</f>
        <v>Construction</v>
      </c>
      <c r="M234" s="39">
        <f>'Ind T1'!B22</f>
        <v>6.2826046688388368</v>
      </c>
      <c r="N234" s="39">
        <f>'Ind T1'!D22</f>
        <v>6.6973086550188379</v>
      </c>
      <c r="O234" s="39">
        <f>'Ind T1'!F22</f>
        <v>7.0218603369316819</v>
      </c>
    </row>
    <row r="235" spans="1:15" x14ac:dyDescent="0.3">
      <c r="L235" t="str">
        <f>L11</f>
        <v>Manufacturing</v>
      </c>
      <c r="M235" s="39">
        <f>'Ind T1'!B21</f>
        <v>7.6690005908649317</v>
      </c>
      <c r="N235" s="39">
        <f>'Ind T1'!D21</f>
        <v>7.3959597893784386</v>
      </c>
      <c r="O235" s="39">
        <f>'Ind T1'!F21</f>
        <v>6.1089973208981254</v>
      </c>
    </row>
    <row r="236" spans="1:15" x14ac:dyDescent="0.3">
      <c r="L236" t="str">
        <f>L5</f>
        <v>Primary sector and utilities</v>
      </c>
      <c r="M236" s="39">
        <f>'Ind T1'!B20</f>
        <v>1.9374395156493867</v>
      </c>
      <c r="N236" s="39">
        <f>'Ind T1'!D20</f>
        <v>1.8571665249811318</v>
      </c>
      <c r="O236" s="39">
        <f>'Ind T1'!F20</f>
        <v>1.7829229109397164</v>
      </c>
    </row>
    <row r="257" spans="1:16" ht="15.45" x14ac:dyDescent="0.4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England</v>
      </c>
      <c r="L257" s="45" t="s">
        <v>441</v>
      </c>
    </row>
    <row r="258" spans="1:16" ht="12.9" x14ac:dyDescent="0.35">
      <c r="L258" s="29" t="s">
        <v>420</v>
      </c>
      <c r="M258" s="10"/>
      <c r="N258" s="10"/>
      <c r="O258" s="10"/>
    </row>
    <row r="259" spans="1:16" x14ac:dyDescent="0.3">
      <c r="P259" s="10"/>
    </row>
    <row r="260" spans="1:16" x14ac:dyDescent="0.3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3">
      <c r="L261" t="str">
        <f t="shared" ref="L261:L266" si="54">L231</f>
        <v>Non-marketed services</v>
      </c>
      <c r="N261" s="11">
        <f>'Ind T1'!D12-'Ind T1'!B12</f>
        <v>236.97000007293536</v>
      </c>
      <c r="O261" s="11">
        <f>'Ind T1'!F50</f>
        <v>645.0600000340246</v>
      </c>
      <c r="P261" s="11"/>
    </row>
    <row r="262" spans="1:16" x14ac:dyDescent="0.3">
      <c r="L262" t="str">
        <f t="shared" si="54"/>
        <v>Business and other services</v>
      </c>
      <c r="N262" s="11">
        <f>'Ind T1'!D11-'Ind T1'!B11</f>
        <v>403.53300001017669</v>
      </c>
      <c r="O262" s="11">
        <f>'Ind T1'!F49</f>
        <v>932.94600005697612</v>
      </c>
      <c r="P262" s="11"/>
    </row>
    <row r="263" spans="1:16" x14ac:dyDescent="0.3">
      <c r="L263" t="str">
        <f t="shared" si="54"/>
        <v>Trade, accomod. and transport</v>
      </c>
      <c r="N263" s="11">
        <f>'Ind T1'!D10-'Ind T1'!B10</f>
        <v>353.44899992796945</v>
      </c>
      <c r="O263" s="11">
        <f>'Ind T1'!F48</f>
        <v>612.2899999363799</v>
      </c>
      <c r="P263" s="11"/>
    </row>
    <row r="264" spans="1:16" x14ac:dyDescent="0.3">
      <c r="L264" t="str">
        <f t="shared" si="54"/>
        <v>Construction</v>
      </c>
      <c r="N264" s="11">
        <f>'Ind T1'!D9-'Ind T1'!B9</f>
        <v>199.44099999133596</v>
      </c>
      <c r="O264" s="11">
        <f>'Ind T1'!F47</f>
        <v>252.12199997313724</v>
      </c>
      <c r="P264" s="11"/>
    </row>
    <row r="265" spans="1:16" x14ac:dyDescent="0.3">
      <c r="L265" t="str">
        <f t="shared" si="54"/>
        <v>Manufacturing</v>
      </c>
      <c r="N265" s="11">
        <f>'Ind T1'!D8-'Ind T1'!B8</f>
        <v>10.767999997206516</v>
      </c>
      <c r="O265" s="11">
        <f>'Ind T1'!F46</f>
        <v>-249.248999996782</v>
      </c>
      <c r="P265" s="11"/>
    </row>
    <row r="266" spans="1:16" x14ac:dyDescent="0.3">
      <c r="L266" t="str">
        <f t="shared" si="54"/>
        <v>Primary sector and utilities</v>
      </c>
      <c r="N266" s="11">
        <f>'Ind T1'!D7-'Ind T1'!B7</f>
        <v>-0.65200000235279276</v>
      </c>
      <c r="O266" s="11">
        <f>'Ind T1'!F45</f>
        <v>17.241000000137433</v>
      </c>
    </row>
    <row r="268" spans="1:16" x14ac:dyDescent="0.3">
      <c r="L268" t="str">
        <f>L38</f>
        <v>All industries</v>
      </c>
      <c r="N268" s="11">
        <f>'Ind T1'!D14-'Ind T1'!B14</f>
        <v>1203.5089999972697</v>
      </c>
      <c r="O268" s="11">
        <f>SUM(O261:O266)</f>
        <v>2210.4100000038734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45" x14ac:dyDescent="0.3"/>
  <cols>
    <col min="1" max="1" width="38.3828125" customWidth="1"/>
    <col min="2" max="12" width="7.3046875" customWidth="1"/>
    <col min="257" max="257" width="33.15234375" bestFit="1" customWidth="1"/>
    <col min="258" max="260" width="7.15234375" customWidth="1"/>
    <col min="261" max="261" width="5" customWidth="1"/>
    <col min="262" max="264" width="7.15234375" customWidth="1"/>
    <col min="265" max="265" width="5" customWidth="1"/>
    <col min="266" max="268" width="7.15234375" customWidth="1"/>
    <col min="513" max="513" width="33.15234375" bestFit="1" customWidth="1"/>
    <col min="514" max="516" width="7.15234375" customWidth="1"/>
    <col min="517" max="517" width="5" customWidth="1"/>
    <col min="518" max="520" width="7.15234375" customWidth="1"/>
    <col min="521" max="521" width="5" customWidth="1"/>
    <col min="522" max="524" width="7.15234375" customWidth="1"/>
    <col min="769" max="769" width="33.15234375" bestFit="1" customWidth="1"/>
    <col min="770" max="772" width="7.15234375" customWidth="1"/>
    <col min="773" max="773" width="5" customWidth="1"/>
    <col min="774" max="776" width="7.15234375" customWidth="1"/>
    <col min="777" max="777" width="5" customWidth="1"/>
    <col min="778" max="780" width="7.15234375" customWidth="1"/>
    <col min="1025" max="1025" width="33.15234375" bestFit="1" customWidth="1"/>
    <col min="1026" max="1028" width="7.15234375" customWidth="1"/>
    <col min="1029" max="1029" width="5" customWidth="1"/>
    <col min="1030" max="1032" width="7.15234375" customWidth="1"/>
    <col min="1033" max="1033" width="5" customWidth="1"/>
    <col min="1034" max="1036" width="7.15234375" customWidth="1"/>
    <col min="1281" max="1281" width="33.15234375" bestFit="1" customWidth="1"/>
    <col min="1282" max="1284" width="7.15234375" customWidth="1"/>
    <col min="1285" max="1285" width="5" customWidth="1"/>
    <col min="1286" max="1288" width="7.15234375" customWidth="1"/>
    <col min="1289" max="1289" width="5" customWidth="1"/>
    <col min="1290" max="1292" width="7.15234375" customWidth="1"/>
    <col min="1537" max="1537" width="33.15234375" bestFit="1" customWidth="1"/>
    <col min="1538" max="1540" width="7.15234375" customWidth="1"/>
    <col min="1541" max="1541" width="5" customWidth="1"/>
    <col min="1542" max="1544" width="7.15234375" customWidth="1"/>
    <col min="1545" max="1545" width="5" customWidth="1"/>
    <col min="1546" max="1548" width="7.15234375" customWidth="1"/>
    <col min="1793" max="1793" width="33.15234375" bestFit="1" customWidth="1"/>
    <col min="1794" max="1796" width="7.15234375" customWidth="1"/>
    <col min="1797" max="1797" width="5" customWidth="1"/>
    <col min="1798" max="1800" width="7.15234375" customWidth="1"/>
    <col min="1801" max="1801" width="5" customWidth="1"/>
    <col min="1802" max="1804" width="7.15234375" customWidth="1"/>
    <col min="2049" max="2049" width="33.15234375" bestFit="1" customWidth="1"/>
    <col min="2050" max="2052" width="7.15234375" customWidth="1"/>
    <col min="2053" max="2053" width="5" customWidth="1"/>
    <col min="2054" max="2056" width="7.15234375" customWidth="1"/>
    <col min="2057" max="2057" width="5" customWidth="1"/>
    <col min="2058" max="2060" width="7.15234375" customWidth="1"/>
    <col min="2305" max="2305" width="33.15234375" bestFit="1" customWidth="1"/>
    <col min="2306" max="2308" width="7.15234375" customWidth="1"/>
    <col min="2309" max="2309" width="5" customWidth="1"/>
    <col min="2310" max="2312" width="7.15234375" customWidth="1"/>
    <col min="2313" max="2313" width="5" customWidth="1"/>
    <col min="2314" max="2316" width="7.15234375" customWidth="1"/>
    <col min="2561" max="2561" width="33.15234375" bestFit="1" customWidth="1"/>
    <col min="2562" max="2564" width="7.15234375" customWidth="1"/>
    <col min="2565" max="2565" width="5" customWidth="1"/>
    <col min="2566" max="2568" width="7.15234375" customWidth="1"/>
    <col min="2569" max="2569" width="5" customWidth="1"/>
    <col min="2570" max="2572" width="7.15234375" customWidth="1"/>
    <col min="2817" max="2817" width="33.15234375" bestFit="1" customWidth="1"/>
    <col min="2818" max="2820" width="7.15234375" customWidth="1"/>
    <col min="2821" max="2821" width="5" customWidth="1"/>
    <col min="2822" max="2824" width="7.15234375" customWidth="1"/>
    <col min="2825" max="2825" width="5" customWidth="1"/>
    <col min="2826" max="2828" width="7.15234375" customWidth="1"/>
    <col min="3073" max="3073" width="33.15234375" bestFit="1" customWidth="1"/>
    <col min="3074" max="3076" width="7.15234375" customWidth="1"/>
    <col min="3077" max="3077" width="5" customWidth="1"/>
    <col min="3078" max="3080" width="7.15234375" customWidth="1"/>
    <col min="3081" max="3081" width="5" customWidth="1"/>
    <col min="3082" max="3084" width="7.15234375" customWidth="1"/>
    <col min="3329" max="3329" width="33.15234375" bestFit="1" customWidth="1"/>
    <col min="3330" max="3332" width="7.15234375" customWidth="1"/>
    <col min="3333" max="3333" width="5" customWidth="1"/>
    <col min="3334" max="3336" width="7.15234375" customWidth="1"/>
    <col min="3337" max="3337" width="5" customWidth="1"/>
    <col min="3338" max="3340" width="7.15234375" customWidth="1"/>
    <col min="3585" max="3585" width="33.15234375" bestFit="1" customWidth="1"/>
    <col min="3586" max="3588" width="7.15234375" customWidth="1"/>
    <col min="3589" max="3589" width="5" customWidth="1"/>
    <col min="3590" max="3592" width="7.15234375" customWidth="1"/>
    <col min="3593" max="3593" width="5" customWidth="1"/>
    <col min="3594" max="3596" width="7.15234375" customWidth="1"/>
    <col min="3841" max="3841" width="33.15234375" bestFit="1" customWidth="1"/>
    <col min="3842" max="3844" width="7.15234375" customWidth="1"/>
    <col min="3845" max="3845" width="5" customWidth="1"/>
    <col min="3846" max="3848" width="7.15234375" customWidth="1"/>
    <col min="3849" max="3849" width="5" customWidth="1"/>
    <col min="3850" max="3852" width="7.15234375" customWidth="1"/>
    <col min="4097" max="4097" width="33.15234375" bestFit="1" customWidth="1"/>
    <col min="4098" max="4100" width="7.15234375" customWidth="1"/>
    <col min="4101" max="4101" width="5" customWidth="1"/>
    <col min="4102" max="4104" width="7.15234375" customWidth="1"/>
    <col min="4105" max="4105" width="5" customWidth="1"/>
    <col min="4106" max="4108" width="7.15234375" customWidth="1"/>
    <col min="4353" max="4353" width="33.15234375" bestFit="1" customWidth="1"/>
    <col min="4354" max="4356" width="7.15234375" customWidth="1"/>
    <col min="4357" max="4357" width="5" customWidth="1"/>
    <col min="4358" max="4360" width="7.15234375" customWidth="1"/>
    <col min="4361" max="4361" width="5" customWidth="1"/>
    <col min="4362" max="4364" width="7.15234375" customWidth="1"/>
    <col min="4609" max="4609" width="33.15234375" bestFit="1" customWidth="1"/>
    <col min="4610" max="4612" width="7.15234375" customWidth="1"/>
    <col min="4613" max="4613" width="5" customWidth="1"/>
    <col min="4614" max="4616" width="7.15234375" customWidth="1"/>
    <col min="4617" max="4617" width="5" customWidth="1"/>
    <col min="4618" max="4620" width="7.15234375" customWidth="1"/>
    <col min="4865" max="4865" width="33.15234375" bestFit="1" customWidth="1"/>
    <col min="4866" max="4868" width="7.15234375" customWidth="1"/>
    <col min="4869" max="4869" width="5" customWidth="1"/>
    <col min="4870" max="4872" width="7.15234375" customWidth="1"/>
    <col min="4873" max="4873" width="5" customWidth="1"/>
    <col min="4874" max="4876" width="7.15234375" customWidth="1"/>
    <col min="5121" max="5121" width="33.15234375" bestFit="1" customWidth="1"/>
    <col min="5122" max="5124" width="7.15234375" customWidth="1"/>
    <col min="5125" max="5125" width="5" customWidth="1"/>
    <col min="5126" max="5128" width="7.15234375" customWidth="1"/>
    <col min="5129" max="5129" width="5" customWidth="1"/>
    <col min="5130" max="5132" width="7.15234375" customWidth="1"/>
    <col min="5377" max="5377" width="33.15234375" bestFit="1" customWidth="1"/>
    <col min="5378" max="5380" width="7.15234375" customWidth="1"/>
    <col min="5381" max="5381" width="5" customWidth="1"/>
    <col min="5382" max="5384" width="7.15234375" customWidth="1"/>
    <col min="5385" max="5385" width="5" customWidth="1"/>
    <col min="5386" max="5388" width="7.15234375" customWidth="1"/>
    <col min="5633" max="5633" width="33.15234375" bestFit="1" customWidth="1"/>
    <col min="5634" max="5636" width="7.15234375" customWidth="1"/>
    <col min="5637" max="5637" width="5" customWidth="1"/>
    <col min="5638" max="5640" width="7.15234375" customWidth="1"/>
    <col min="5641" max="5641" width="5" customWidth="1"/>
    <col min="5642" max="5644" width="7.15234375" customWidth="1"/>
    <col min="5889" max="5889" width="33.15234375" bestFit="1" customWidth="1"/>
    <col min="5890" max="5892" width="7.15234375" customWidth="1"/>
    <col min="5893" max="5893" width="5" customWidth="1"/>
    <col min="5894" max="5896" width="7.15234375" customWidth="1"/>
    <col min="5897" max="5897" width="5" customWidth="1"/>
    <col min="5898" max="5900" width="7.15234375" customWidth="1"/>
    <col min="6145" max="6145" width="33.15234375" bestFit="1" customWidth="1"/>
    <col min="6146" max="6148" width="7.15234375" customWidth="1"/>
    <col min="6149" max="6149" width="5" customWidth="1"/>
    <col min="6150" max="6152" width="7.15234375" customWidth="1"/>
    <col min="6153" max="6153" width="5" customWidth="1"/>
    <col min="6154" max="6156" width="7.15234375" customWidth="1"/>
    <col min="6401" max="6401" width="33.15234375" bestFit="1" customWidth="1"/>
    <col min="6402" max="6404" width="7.15234375" customWidth="1"/>
    <col min="6405" max="6405" width="5" customWidth="1"/>
    <col min="6406" max="6408" width="7.15234375" customWidth="1"/>
    <col min="6409" max="6409" width="5" customWidth="1"/>
    <col min="6410" max="6412" width="7.15234375" customWidth="1"/>
    <col min="6657" max="6657" width="33.15234375" bestFit="1" customWidth="1"/>
    <col min="6658" max="6660" width="7.15234375" customWidth="1"/>
    <col min="6661" max="6661" width="5" customWidth="1"/>
    <col min="6662" max="6664" width="7.15234375" customWidth="1"/>
    <col min="6665" max="6665" width="5" customWidth="1"/>
    <col min="6666" max="6668" width="7.15234375" customWidth="1"/>
    <col min="6913" max="6913" width="33.15234375" bestFit="1" customWidth="1"/>
    <col min="6914" max="6916" width="7.15234375" customWidth="1"/>
    <col min="6917" max="6917" width="5" customWidth="1"/>
    <col min="6918" max="6920" width="7.15234375" customWidth="1"/>
    <col min="6921" max="6921" width="5" customWidth="1"/>
    <col min="6922" max="6924" width="7.15234375" customWidth="1"/>
    <col min="7169" max="7169" width="33.15234375" bestFit="1" customWidth="1"/>
    <col min="7170" max="7172" width="7.15234375" customWidth="1"/>
    <col min="7173" max="7173" width="5" customWidth="1"/>
    <col min="7174" max="7176" width="7.15234375" customWidth="1"/>
    <col min="7177" max="7177" width="5" customWidth="1"/>
    <col min="7178" max="7180" width="7.15234375" customWidth="1"/>
    <col min="7425" max="7425" width="33.15234375" bestFit="1" customWidth="1"/>
    <col min="7426" max="7428" width="7.15234375" customWidth="1"/>
    <col min="7429" max="7429" width="5" customWidth="1"/>
    <col min="7430" max="7432" width="7.15234375" customWidth="1"/>
    <col min="7433" max="7433" width="5" customWidth="1"/>
    <col min="7434" max="7436" width="7.15234375" customWidth="1"/>
    <col min="7681" max="7681" width="33.15234375" bestFit="1" customWidth="1"/>
    <col min="7682" max="7684" width="7.15234375" customWidth="1"/>
    <col min="7685" max="7685" width="5" customWidth="1"/>
    <col min="7686" max="7688" width="7.15234375" customWidth="1"/>
    <col min="7689" max="7689" width="5" customWidth="1"/>
    <col min="7690" max="7692" width="7.15234375" customWidth="1"/>
    <col min="7937" max="7937" width="33.15234375" bestFit="1" customWidth="1"/>
    <col min="7938" max="7940" width="7.15234375" customWidth="1"/>
    <col min="7941" max="7941" width="5" customWidth="1"/>
    <col min="7942" max="7944" width="7.15234375" customWidth="1"/>
    <col min="7945" max="7945" width="5" customWidth="1"/>
    <col min="7946" max="7948" width="7.15234375" customWidth="1"/>
    <col min="8193" max="8193" width="33.15234375" bestFit="1" customWidth="1"/>
    <col min="8194" max="8196" width="7.15234375" customWidth="1"/>
    <col min="8197" max="8197" width="5" customWidth="1"/>
    <col min="8198" max="8200" width="7.15234375" customWidth="1"/>
    <col min="8201" max="8201" width="5" customWidth="1"/>
    <col min="8202" max="8204" width="7.15234375" customWidth="1"/>
    <col min="8449" max="8449" width="33.15234375" bestFit="1" customWidth="1"/>
    <col min="8450" max="8452" width="7.15234375" customWidth="1"/>
    <col min="8453" max="8453" width="5" customWidth="1"/>
    <col min="8454" max="8456" width="7.15234375" customWidth="1"/>
    <col min="8457" max="8457" width="5" customWidth="1"/>
    <col min="8458" max="8460" width="7.15234375" customWidth="1"/>
    <col min="8705" max="8705" width="33.15234375" bestFit="1" customWidth="1"/>
    <col min="8706" max="8708" width="7.15234375" customWidth="1"/>
    <col min="8709" max="8709" width="5" customWidth="1"/>
    <col min="8710" max="8712" width="7.15234375" customWidth="1"/>
    <col min="8713" max="8713" width="5" customWidth="1"/>
    <col min="8714" max="8716" width="7.15234375" customWidth="1"/>
    <col min="8961" max="8961" width="33.15234375" bestFit="1" customWidth="1"/>
    <col min="8962" max="8964" width="7.15234375" customWidth="1"/>
    <col min="8965" max="8965" width="5" customWidth="1"/>
    <col min="8966" max="8968" width="7.15234375" customWidth="1"/>
    <col min="8969" max="8969" width="5" customWidth="1"/>
    <col min="8970" max="8972" width="7.15234375" customWidth="1"/>
    <col min="9217" max="9217" width="33.15234375" bestFit="1" customWidth="1"/>
    <col min="9218" max="9220" width="7.15234375" customWidth="1"/>
    <col min="9221" max="9221" width="5" customWidth="1"/>
    <col min="9222" max="9224" width="7.15234375" customWidth="1"/>
    <col min="9225" max="9225" width="5" customWidth="1"/>
    <col min="9226" max="9228" width="7.15234375" customWidth="1"/>
    <col min="9473" max="9473" width="33.15234375" bestFit="1" customWidth="1"/>
    <col min="9474" max="9476" width="7.15234375" customWidth="1"/>
    <col min="9477" max="9477" width="5" customWidth="1"/>
    <col min="9478" max="9480" width="7.15234375" customWidth="1"/>
    <col min="9481" max="9481" width="5" customWidth="1"/>
    <col min="9482" max="9484" width="7.15234375" customWidth="1"/>
    <col min="9729" max="9729" width="33.15234375" bestFit="1" customWidth="1"/>
    <col min="9730" max="9732" width="7.15234375" customWidth="1"/>
    <col min="9733" max="9733" width="5" customWidth="1"/>
    <col min="9734" max="9736" width="7.15234375" customWidth="1"/>
    <col min="9737" max="9737" width="5" customWidth="1"/>
    <col min="9738" max="9740" width="7.15234375" customWidth="1"/>
    <col min="9985" max="9985" width="33.15234375" bestFit="1" customWidth="1"/>
    <col min="9986" max="9988" width="7.15234375" customWidth="1"/>
    <col min="9989" max="9989" width="5" customWidth="1"/>
    <col min="9990" max="9992" width="7.15234375" customWidth="1"/>
    <col min="9993" max="9993" width="5" customWidth="1"/>
    <col min="9994" max="9996" width="7.15234375" customWidth="1"/>
    <col min="10241" max="10241" width="33.15234375" bestFit="1" customWidth="1"/>
    <col min="10242" max="10244" width="7.15234375" customWidth="1"/>
    <col min="10245" max="10245" width="5" customWidth="1"/>
    <col min="10246" max="10248" width="7.15234375" customWidth="1"/>
    <col min="10249" max="10249" width="5" customWidth="1"/>
    <col min="10250" max="10252" width="7.15234375" customWidth="1"/>
    <col min="10497" max="10497" width="33.15234375" bestFit="1" customWidth="1"/>
    <col min="10498" max="10500" width="7.15234375" customWidth="1"/>
    <col min="10501" max="10501" width="5" customWidth="1"/>
    <col min="10502" max="10504" width="7.15234375" customWidth="1"/>
    <col min="10505" max="10505" width="5" customWidth="1"/>
    <col min="10506" max="10508" width="7.15234375" customWidth="1"/>
    <col min="10753" max="10753" width="33.15234375" bestFit="1" customWidth="1"/>
    <col min="10754" max="10756" width="7.15234375" customWidth="1"/>
    <col min="10757" max="10757" width="5" customWidth="1"/>
    <col min="10758" max="10760" width="7.15234375" customWidth="1"/>
    <col min="10761" max="10761" width="5" customWidth="1"/>
    <col min="10762" max="10764" width="7.15234375" customWidth="1"/>
    <col min="11009" max="11009" width="33.15234375" bestFit="1" customWidth="1"/>
    <col min="11010" max="11012" width="7.15234375" customWidth="1"/>
    <col min="11013" max="11013" width="5" customWidth="1"/>
    <col min="11014" max="11016" width="7.15234375" customWidth="1"/>
    <col min="11017" max="11017" width="5" customWidth="1"/>
    <col min="11018" max="11020" width="7.15234375" customWidth="1"/>
    <col min="11265" max="11265" width="33.15234375" bestFit="1" customWidth="1"/>
    <col min="11266" max="11268" width="7.15234375" customWidth="1"/>
    <col min="11269" max="11269" width="5" customWidth="1"/>
    <col min="11270" max="11272" width="7.15234375" customWidth="1"/>
    <col min="11273" max="11273" width="5" customWidth="1"/>
    <col min="11274" max="11276" width="7.15234375" customWidth="1"/>
    <col min="11521" max="11521" width="33.15234375" bestFit="1" customWidth="1"/>
    <col min="11522" max="11524" width="7.15234375" customWidth="1"/>
    <col min="11525" max="11525" width="5" customWidth="1"/>
    <col min="11526" max="11528" width="7.15234375" customWidth="1"/>
    <col min="11529" max="11529" width="5" customWidth="1"/>
    <col min="11530" max="11532" width="7.15234375" customWidth="1"/>
    <col min="11777" max="11777" width="33.15234375" bestFit="1" customWidth="1"/>
    <col min="11778" max="11780" width="7.15234375" customWidth="1"/>
    <col min="11781" max="11781" width="5" customWidth="1"/>
    <col min="11782" max="11784" width="7.15234375" customWidth="1"/>
    <col min="11785" max="11785" width="5" customWidth="1"/>
    <col min="11786" max="11788" width="7.15234375" customWidth="1"/>
    <col min="12033" max="12033" width="33.15234375" bestFit="1" customWidth="1"/>
    <col min="12034" max="12036" width="7.15234375" customWidth="1"/>
    <col min="12037" max="12037" width="5" customWidth="1"/>
    <col min="12038" max="12040" width="7.15234375" customWidth="1"/>
    <col min="12041" max="12041" width="5" customWidth="1"/>
    <col min="12042" max="12044" width="7.15234375" customWidth="1"/>
    <col min="12289" max="12289" width="33.15234375" bestFit="1" customWidth="1"/>
    <col min="12290" max="12292" width="7.15234375" customWidth="1"/>
    <col min="12293" max="12293" width="5" customWidth="1"/>
    <col min="12294" max="12296" width="7.15234375" customWidth="1"/>
    <col min="12297" max="12297" width="5" customWidth="1"/>
    <col min="12298" max="12300" width="7.15234375" customWidth="1"/>
    <col min="12545" max="12545" width="33.15234375" bestFit="1" customWidth="1"/>
    <col min="12546" max="12548" width="7.15234375" customWidth="1"/>
    <col min="12549" max="12549" width="5" customWidth="1"/>
    <col min="12550" max="12552" width="7.15234375" customWidth="1"/>
    <col min="12553" max="12553" width="5" customWidth="1"/>
    <col min="12554" max="12556" width="7.15234375" customWidth="1"/>
    <col min="12801" max="12801" width="33.15234375" bestFit="1" customWidth="1"/>
    <col min="12802" max="12804" width="7.15234375" customWidth="1"/>
    <col min="12805" max="12805" width="5" customWidth="1"/>
    <col min="12806" max="12808" width="7.15234375" customWidth="1"/>
    <col min="12809" max="12809" width="5" customWidth="1"/>
    <col min="12810" max="12812" width="7.15234375" customWidth="1"/>
    <col min="13057" max="13057" width="33.15234375" bestFit="1" customWidth="1"/>
    <col min="13058" max="13060" width="7.15234375" customWidth="1"/>
    <col min="13061" max="13061" width="5" customWidth="1"/>
    <col min="13062" max="13064" width="7.15234375" customWidth="1"/>
    <col min="13065" max="13065" width="5" customWidth="1"/>
    <col min="13066" max="13068" width="7.15234375" customWidth="1"/>
    <col min="13313" max="13313" width="33.15234375" bestFit="1" customWidth="1"/>
    <col min="13314" max="13316" width="7.15234375" customWidth="1"/>
    <col min="13317" max="13317" width="5" customWidth="1"/>
    <col min="13318" max="13320" width="7.15234375" customWidth="1"/>
    <col min="13321" max="13321" width="5" customWidth="1"/>
    <col min="13322" max="13324" width="7.15234375" customWidth="1"/>
    <col min="13569" max="13569" width="33.15234375" bestFit="1" customWidth="1"/>
    <col min="13570" max="13572" width="7.15234375" customWidth="1"/>
    <col min="13573" max="13573" width="5" customWidth="1"/>
    <col min="13574" max="13576" width="7.15234375" customWidth="1"/>
    <col min="13577" max="13577" width="5" customWidth="1"/>
    <col min="13578" max="13580" width="7.15234375" customWidth="1"/>
    <col min="13825" max="13825" width="33.15234375" bestFit="1" customWidth="1"/>
    <col min="13826" max="13828" width="7.15234375" customWidth="1"/>
    <col min="13829" max="13829" width="5" customWidth="1"/>
    <col min="13830" max="13832" width="7.15234375" customWidth="1"/>
    <col min="13833" max="13833" width="5" customWidth="1"/>
    <col min="13834" max="13836" width="7.15234375" customWidth="1"/>
    <col min="14081" max="14081" width="33.15234375" bestFit="1" customWidth="1"/>
    <col min="14082" max="14084" width="7.15234375" customWidth="1"/>
    <col min="14085" max="14085" width="5" customWidth="1"/>
    <col min="14086" max="14088" width="7.15234375" customWidth="1"/>
    <col min="14089" max="14089" width="5" customWidth="1"/>
    <col min="14090" max="14092" width="7.15234375" customWidth="1"/>
    <col min="14337" max="14337" width="33.15234375" bestFit="1" customWidth="1"/>
    <col min="14338" max="14340" width="7.15234375" customWidth="1"/>
    <col min="14341" max="14341" width="5" customWidth="1"/>
    <col min="14342" max="14344" width="7.15234375" customWidth="1"/>
    <col min="14345" max="14345" width="5" customWidth="1"/>
    <col min="14346" max="14348" width="7.15234375" customWidth="1"/>
    <col min="14593" max="14593" width="33.15234375" bestFit="1" customWidth="1"/>
    <col min="14594" max="14596" width="7.15234375" customWidth="1"/>
    <col min="14597" max="14597" width="5" customWidth="1"/>
    <col min="14598" max="14600" width="7.15234375" customWidth="1"/>
    <col min="14601" max="14601" width="5" customWidth="1"/>
    <col min="14602" max="14604" width="7.15234375" customWidth="1"/>
    <col min="14849" max="14849" width="33.15234375" bestFit="1" customWidth="1"/>
    <col min="14850" max="14852" width="7.15234375" customWidth="1"/>
    <col min="14853" max="14853" width="5" customWidth="1"/>
    <col min="14854" max="14856" width="7.15234375" customWidth="1"/>
    <col min="14857" max="14857" width="5" customWidth="1"/>
    <col min="14858" max="14860" width="7.15234375" customWidth="1"/>
    <col min="15105" max="15105" width="33.15234375" bestFit="1" customWidth="1"/>
    <col min="15106" max="15108" width="7.15234375" customWidth="1"/>
    <col min="15109" max="15109" width="5" customWidth="1"/>
    <col min="15110" max="15112" width="7.15234375" customWidth="1"/>
    <col min="15113" max="15113" width="5" customWidth="1"/>
    <col min="15114" max="15116" width="7.15234375" customWidth="1"/>
    <col min="15361" max="15361" width="33.15234375" bestFit="1" customWidth="1"/>
    <col min="15362" max="15364" width="7.15234375" customWidth="1"/>
    <col min="15365" max="15365" width="5" customWidth="1"/>
    <col min="15366" max="15368" width="7.15234375" customWidth="1"/>
    <col min="15369" max="15369" width="5" customWidth="1"/>
    <col min="15370" max="15372" width="7.15234375" customWidth="1"/>
    <col min="15617" max="15617" width="33.15234375" bestFit="1" customWidth="1"/>
    <col min="15618" max="15620" width="7.15234375" customWidth="1"/>
    <col min="15621" max="15621" width="5" customWidth="1"/>
    <col min="15622" max="15624" width="7.15234375" customWidth="1"/>
    <col min="15625" max="15625" width="5" customWidth="1"/>
    <col min="15626" max="15628" width="7.15234375" customWidth="1"/>
    <col min="15873" max="15873" width="33.15234375" bestFit="1" customWidth="1"/>
    <col min="15874" max="15876" width="7.15234375" customWidth="1"/>
    <col min="15877" max="15877" width="5" customWidth="1"/>
    <col min="15878" max="15880" width="7.15234375" customWidth="1"/>
    <col min="15881" max="15881" width="5" customWidth="1"/>
    <col min="15882" max="15884" width="7.15234375" customWidth="1"/>
    <col min="16129" max="16129" width="33.15234375" bestFit="1" customWidth="1"/>
    <col min="16130" max="16132" width="7.15234375" customWidth="1"/>
    <col min="16133" max="16133" width="5" customWidth="1"/>
    <col min="16134" max="16136" width="7.15234375" customWidth="1"/>
    <col min="16137" max="16137" width="5" customWidth="1"/>
    <col min="16138" max="16140" width="7.15234375" customWidth="1"/>
  </cols>
  <sheetData>
    <row r="1" spans="1:14" ht="15.45" x14ac:dyDescent="0.4">
      <c r="A1" s="18" t="str">
        <f>CONCATENATE("Industry and Occupation Table 1  Occuptation composition (SOC2020) by gender, ",B$6,"-",J$6,", ",Info!B5)</f>
        <v>Industry and Occupation Table 1  Occuptation composition (SOC2020) by gender, 2015-2035,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3">
      <c r="A2" s="258" t="s">
        <v>533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3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3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3">
      <c r="A6" s="241" t="s">
        <v>0</v>
      </c>
      <c r="B6" s="373">
        <v>2015</v>
      </c>
      <c r="C6" s="374"/>
      <c r="D6" s="374"/>
      <c r="E6" s="246"/>
      <c r="F6" s="373">
        <v>2020</v>
      </c>
      <c r="G6" s="373"/>
      <c r="H6" s="373"/>
      <c r="I6" s="246"/>
      <c r="J6" s="373">
        <v>2035</v>
      </c>
      <c r="K6" s="373"/>
      <c r="L6" s="373"/>
      <c r="M6" s="236"/>
      <c r="N6" s="236"/>
    </row>
    <row r="7" spans="1:14" x14ac:dyDescent="0.3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3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949.16073916934965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1873.7942274513796</v>
      </c>
      <c r="D9" s="249">
        <f>SUM(B9:C9)</f>
        <v>2822.9549666207295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1198.6471738534678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2099.3158911491037</v>
      </c>
      <c r="H9" s="249">
        <f>SUM(F9:G9)</f>
        <v>3297.9630650025715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1496.0291096814703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2301.1325960981922</v>
      </c>
      <c r="L9" s="249">
        <f>SUM(J9:K9)</f>
        <v>3797.1617057796625</v>
      </c>
      <c r="M9" s="236"/>
      <c r="N9" s="236"/>
    </row>
    <row r="10" spans="1:14" x14ac:dyDescent="0.3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2840.8545390658537</v>
      </c>
      <c r="C10" s="249">
        <f t="shared" si="0"/>
        <v>3072.3892429773005</v>
      </c>
      <c r="D10" s="249">
        <f t="shared" ref="D10:D17" si="1">SUM(B10:C10)</f>
        <v>5913.2437820431542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3464.6279198306838</v>
      </c>
      <c r="G10" s="249">
        <f t="shared" si="2"/>
        <v>3578.2801269456709</v>
      </c>
      <c r="H10" s="249">
        <f t="shared" ref="H10:H17" si="3">SUM(F10:G10)</f>
        <v>7042.9080467763542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4244.9483784320546</v>
      </c>
      <c r="K10" s="249">
        <f t="shared" si="4"/>
        <v>4167.735491001943</v>
      </c>
      <c r="L10" s="249">
        <f t="shared" ref="L10:L17" si="5">SUM(J10:K10)</f>
        <v>8412.6838694339967</v>
      </c>
      <c r="M10" s="236"/>
      <c r="N10" s="236"/>
    </row>
    <row r="11" spans="1:14" x14ac:dyDescent="0.3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1680.2511585236189</v>
      </c>
      <c r="C11" s="249">
        <f t="shared" si="6"/>
        <v>1992.8277048640775</v>
      </c>
      <c r="D11" s="249">
        <f t="shared" si="1"/>
        <v>3673.0788633876964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1954.6738317322809</v>
      </c>
      <c r="G11" s="249">
        <f t="shared" si="7"/>
        <v>2197.651785920094</v>
      </c>
      <c r="H11" s="249">
        <f t="shared" si="3"/>
        <v>4152.3256176523746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2239.9105434881794</v>
      </c>
      <c r="K11" s="249">
        <f t="shared" si="8"/>
        <v>2153.9706356781289</v>
      </c>
      <c r="L11" s="249">
        <f t="shared" si="5"/>
        <v>4393.8811791663084</v>
      </c>
      <c r="M11" s="236"/>
      <c r="N11" s="236"/>
    </row>
    <row r="12" spans="1:14" x14ac:dyDescent="0.3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2375.5637331215817</v>
      </c>
      <c r="C12" s="249">
        <f t="shared" si="9"/>
        <v>773.93002752520658</v>
      </c>
      <c r="D12" s="249">
        <f t="shared" si="1"/>
        <v>3149.4937606467884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2290.3788438758838</v>
      </c>
      <c r="G12" s="249">
        <f t="shared" si="10"/>
        <v>856.65149379899458</v>
      </c>
      <c r="H12" s="249">
        <f t="shared" si="3"/>
        <v>3147.0303376748784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1819.5049603555226</v>
      </c>
      <c r="K12" s="249">
        <f t="shared" si="11"/>
        <v>900.61709572787379</v>
      </c>
      <c r="L12" s="249">
        <f t="shared" si="5"/>
        <v>2720.1220560833963</v>
      </c>
      <c r="M12" s="236"/>
      <c r="N12" s="236"/>
    </row>
    <row r="13" spans="1:14" x14ac:dyDescent="0.3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309.75889763462635</v>
      </c>
      <c r="C13" s="249">
        <f t="shared" si="12"/>
        <v>2579.9320586691156</v>
      </c>
      <c r="D13" s="249">
        <f t="shared" si="1"/>
        <v>2889.690956303742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322.83302172166162</v>
      </c>
      <c r="G13" s="249">
        <f t="shared" si="13"/>
        <v>2187.4452258737028</v>
      </c>
      <c r="H13" s="249">
        <f t="shared" si="3"/>
        <v>2510.2782475953645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400.22109994701941</v>
      </c>
      <c r="K13" s="249">
        <f t="shared" si="14"/>
        <v>2093.9171266029725</v>
      </c>
      <c r="L13" s="249">
        <f t="shared" si="5"/>
        <v>2494.1382265499919</v>
      </c>
      <c r="M13" s="236"/>
      <c r="N13" s="236"/>
    </row>
    <row r="14" spans="1:14" x14ac:dyDescent="0.3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2168.245234897312</v>
      </c>
      <c r="C14" s="249">
        <f t="shared" si="15"/>
        <v>518.23171046895357</v>
      </c>
      <c r="D14" s="249">
        <f t="shared" si="1"/>
        <v>2686.4769453662657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2148.3730993053355</v>
      </c>
      <c r="G14" s="249">
        <f t="shared" si="16"/>
        <v>534.82078114805461</v>
      </c>
      <c r="H14" s="249">
        <f t="shared" si="3"/>
        <v>2683.1938804533902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2411.5971160951631</v>
      </c>
      <c r="K14" s="249">
        <f t="shared" si="17"/>
        <v>692.52403663346138</v>
      </c>
      <c r="L14" s="249">
        <f t="shared" si="5"/>
        <v>3104.1211527286246</v>
      </c>
      <c r="M14" s="236"/>
      <c r="N14" s="236"/>
    </row>
    <row r="15" spans="1:14" x14ac:dyDescent="0.3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1476.5341906941328</v>
      </c>
      <c r="C15" s="249">
        <f t="shared" si="18"/>
        <v>975.18046757689331</v>
      </c>
      <c r="D15" s="249">
        <f t="shared" si="1"/>
        <v>2451.7146582710261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1392.6637578534358</v>
      </c>
      <c r="G15" s="249">
        <f t="shared" si="19"/>
        <v>969.66952378140729</v>
      </c>
      <c r="H15" s="249">
        <f t="shared" si="3"/>
        <v>2362.3332816348429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1351.1444969299835</v>
      </c>
      <c r="K15" s="249">
        <f t="shared" si="20"/>
        <v>1037.6507898684758</v>
      </c>
      <c r="L15" s="249">
        <f t="shared" si="5"/>
        <v>2388.7952867984595</v>
      </c>
      <c r="M15" s="236"/>
      <c r="N15" s="236"/>
    </row>
    <row r="16" spans="1:14" x14ac:dyDescent="0.3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221.66686516083968</v>
      </c>
      <c r="C16" s="249">
        <f t="shared" si="21"/>
        <v>1545.6588392032813</v>
      </c>
      <c r="D16" s="249">
        <f t="shared" si="1"/>
        <v>1767.3257043641211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202.65831646225843</v>
      </c>
      <c r="G16" s="249">
        <f t="shared" si="22"/>
        <v>1459.4792278322425</v>
      </c>
      <c r="H16" s="249">
        <f t="shared" si="3"/>
        <v>1662.1375442945009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283.77830127022298</v>
      </c>
      <c r="K16" s="249">
        <f t="shared" si="23"/>
        <v>1568.3089691822011</v>
      </c>
      <c r="L16" s="249">
        <f t="shared" si="5"/>
        <v>1852.087270452424</v>
      </c>
      <c r="M16" s="236"/>
      <c r="N16" s="236"/>
    </row>
    <row r="17" spans="1:14" x14ac:dyDescent="0.3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1536.8426417293426</v>
      </c>
      <c r="C17" s="249">
        <f t="shared" si="24"/>
        <v>1765.3497212648967</v>
      </c>
      <c r="D17" s="249">
        <f t="shared" si="1"/>
        <v>3302.1923629942394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1405.3090353598852</v>
      </c>
      <c r="G17" s="249">
        <f t="shared" si="25"/>
        <v>1596.2019435508641</v>
      </c>
      <c r="H17" s="249">
        <f t="shared" si="3"/>
        <v>3001.5109789107491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1339.4499937991498</v>
      </c>
      <c r="K17" s="249">
        <f t="shared" si="26"/>
        <v>1567.6502592068973</v>
      </c>
      <c r="L17" s="249">
        <f t="shared" si="5"/>
        <v>2907.1002530060468</v>
      </c>
      <c r="M17" s="236"/>
      <c r="N17" s="236"/>
    </row>
    <row r="18" spans="1:14" x14ac:dyDescent="0.3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3">
      <c r="A19" s="244" t="s">
        <v>32</v>
      </c>
      <c r="B19" s="247">
        <f>SUM(B9:B17)</f>
        <v>13558.877999996657</v>
      </c>
      <c r="C19" s="247">
        <f t="shared" ref="C19:L19" si="27">SUM(C9:C17)</f>
        <v>15097.294000001102</v>
      </c>
      <c r="D19" s="247">
        <f t="shared" si="27"/>
        <v>28656.171999997761</v>
      </c>
      <c r="E19" s="247"/>
      <c r="F19" s="247">
        <f t="shared" si="27"/>
        <v>14380.164999994891</v>
      </c>
      <c r="G19" s="247">
        <f t="shared" si="27"/>
        <v>15479.516000000136</v>
      </c>
      <c r="H19" s="247">
        <f t="shared" si="27"/>
        <v>29859.680999995024</v>
      </c>
      <c r="I19" s="247"/>
      <c r="J19" s="247">
        <f t="shared" si="27"/>
        <v>15586.583999998766</v>
      </c>
      <c r="K19" s="247">
        <f t="shared" si="27"/>
        <v>16483.507000000143</v>
      </c>
      <c r="L19" s="247">
        <f t="shared" si="27"/>
        <v>32070.090999998913</v>
      </c>
      <c r="M19" s="236"/>
      <c r="N19" s="236"/>
    </row>
    <row r="20" spans="1:14" x14ac:dyDescent="0.3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3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3">
      <c r="A23" s="241" t="str">
        <f>name!A4</f>
        <v>Agriculture, etc</v>
      </c>
      <c r="B23" s="373">
        <f>B$6</f>
        <v>2015</v>
      </c>
      <c r="C23" s="373"/>
      <c r="D23" s="373"/>
      <c r="E23" s="253"/>
      <c r="F23" s="373">
        <f>F$6</f>
        <v>2020</v>
      </c>
      <c r="G23" s="373"/>
      <c r="H23" s="373"/>
      <c r="I23" s="253"/>
      <c r="J23" s="373">
        <f>J$6</f>
        <v>2035</v>
      </c>
      <c r="K23" s="373"/>
      <c r="L23" s="373"/>
      <c r="M23" s="236"/>
      <c r="N23" s="236"/>
    </row>
    <row r="24" spans="1:14" x14ac:dyDescent="0.3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3">
      <c r="A26" s="237" t="str">
        <f>name!E$4</f>
        <v>Managers, directors and senior officials</v>
      </c>
      <c r="B26" s="302">
        <v>3.6671519303169817</v>
      </c>
      <c r="C26" s="302">
        <v>11.586901050225057</v>
      </c>
      <c r="D26" s="302">
        <f>SUM(B26:C26)</f>
        <v>15.254052980542038</v>
      </c>
      <c r="E26" s="303"/>
      <c r="F26" s="302">
        <v>4.8331462744803249</v>
      </c>
      <c r="G26" s="302">
        <v>13.434388560114851</v>
      </c>
      <c r="H26" s="302">
        <f>SUM(F26:G26)</f>
        <v>18.267534834595175</v>
      </c>
      <c r="I26" s="303"/>
      <c r="J26" s="302">
        <v>5.3022045630121903</v>
      </c>
      <c r="K26" s="302">
        <v>19.226434892491493</v>
      </c>
      <c r="L26" s="302">
        <f>SUM(J26:K26)</f>
        <v>24.528639455503683</v>
      </c>
      <c r="M26" s="236"/>
      <c r="N26" s="236"/>
    </row>
    <row r="27" spans="1:14" x14ac:dyDescent="0.3">
      <c r="A27" s="237" t="str">
        <f>name!E$5</f>
        <v>Professional occupations</v>
      </c>
      <c r="B27" s="302">
        <v>4.8085081216929124</v>
      </c>
      <c r="C27" s="302">
        <v>7.982324813474948</v>
      </c>
      <c r="D27" s="302">
        <f t="shared" ref="D27:D34" si="28">SUM(B27:C27)</f>
        <v>12.79083293516786</v>
      </c>
      <c r="E27" s="303"/>
      <c r="F27" s="302">
        <v>7.5206290066815145</v>
      </c>
      <c r="G27" s="302">
        <v>10.89709126173026</v>
      </c>
      <c r="H27" s="302">
        <f t="shared" ref="H27:H34" si="29">SUM(F27:G27)</f>
        <v>18.417720268411774</v>
      </c>
      <c r="I27" s="303"/>
      <c r="J27" s="302">
        <v>9.564523175187011</v>
      </c>
      <c r="K27" s="302">
        <v>17.037425132571336</v>
      </c>
      <c r="L27" s="302">
        <f t="shared" ref="L27:L34" si="30">SUM(J27:K27)</f>
        <v>26.601948307758349</v>
      </c>
      <c r="M27" s="236"/>
      <c r="N27" s="236"/>
    </row>
    <row r="28" spans="1:14" x14ac:dyDescent="0.3">
      <c r="A28" s="237" t="str">
        <f>name!E$6</f>
        <v>Associate professional occupations</v>
      </c>
      <c r="B28" s="302">
        <v>3.6882285836046877</v>
      </c>
      <c r="C28" s="302">
        <v>5.2057929217360606</v>
      </c>
      <c r="D28" s="302">
        <f t="shared" si="28"/>
        <v>8.8940215053407492</v>
      </c>
      <c r="E28" s="303"/>
      <c r="F28" s="302">
        <v>5.0690703350295339</v>
      </c>
      <c r="G28" s="302">
        <v>6.4070604933587161</v>
      </c>
      <c r="H28" s="302">
        <f t="shared" si="29"/>
        <v>11.47613082838825</v>
      </c>
      <c r="I28" s="303"/>
      <c r="J28" s="302">
        <v>5.9433338900710933</v>
      </c>
      <c r="K28" s="302">
        <v>7.1632737377319504</v>
      </c>
      <c r="L28" s="302">
        <f t="shared" si="30"/>
        <v>13.106607627803044</v>
      </c>
      <c r="M28" s="236"/>
      <c r="N28" s="236"/>
    </row>
    <row r="29" spans="1:14" x14ac:dyDescent="0.3">
      <c r="A29" s="237" t="str">
        <f>name!E$7</f>
        <v>Administrative and secretarial occupations</v>
      </c>
      <c r="B29" s="302">
        <v>10.858437928925273</v>
      </c>
      <c r="C29" s="302">
        <v>3.0389587116436036</v>
      </c>
      <c r="D29" s="302">
        <f t="shared" si="28"/>
        <v>13.897396640568877</v>
      </c>
      <c r="E29" s="303"/>
      <c r="F29" s="302">
        <v>11.069694688985718</v>
      </c>
      <c r="G29" s="302">
        <v>2.8923960020316781</v>
      </c>
      <c r="H29" s="302">
        <f t="shared" si="29"/>
        <v>13.962090691017396</v>
      </c>
      <c r="I29" s="303"/>
      <c r="J29" s="302">
        <v>7.2092501765355133</v>
      </c>
      <c r="K29" s="302">
        <v>3.1666084926887534</v>
      </c>
      <c r="L29" s="302">
        <f t="shared" si="30"/>
        <v>10.375858669224266</v>
      </c>
      <c r="M29" s="236"/>
      <c r="N29" s="236"/>
    </row>
    <row r="30" spans="1:14" x14ac:dyDescent="0.3">
      <c r="A30" s="237" t="str">
        <f>name!E$8</f>
        <v>Skilled trades occupations</v>
      </c>
      <c r="B30" s="302">
        <v>23.153526364946121</v>
      </c>
      <c r="C30" s="302">
        <v>116.32944161506975</v>
      </c>
      <c r="D30" s="302">
        <f t="shared" si="28"/>
        <v>139.48296798001587</v>
      </c>
      <c r="E30" s="303"/>
      <c r="F30" s="302">
        <v>23.079191857608869</v>
      </c>
      <c r="G30" s="302">
        <v>95.524343243491913</v>
      </c>
      <c r="H30" s="302">
        <f t="shared" si="29"/>
        <v>118.60353510110079</v>
      </c>
      <c r="I30" s="303"/>
      <c r="J30" s="302">
        <v>25.804196880065099</v>
      </c>
      <c r="K30" s="302">
        <v>89.145048536354764</v>
      </c>
      <c r="L30" s="302">
        <f t="shared" si="30"/>
        <v>114.94924541641987</v>
      </c>
      <c r="M30" s="236"/>
      <c r="N30" s="236"/>
    </row>
    <row r="31" spans="1:14" x14ac:dyDescent="0.3">
      <c r="A31" s="237" t="str">
        <f>name!E$9</f>
        <v>Caring, leisure and other service occupations</v>
      </c>
      <c r="B31" s="302">
        <v>6.4370454571746762</v>
      </c>
      <c r="C31" s="302">
        <v>4.2088832743248119</v>
      </c>
      <c r="D31" s="302">
        <f t="shared" si="28"/>
        <v>10.645928731499488</v>
      </c>
      <c r="E31" s="303"/>
      <c r="F31" s="302">
        <v>7.0374429585600522</v>
      </c>
      <c r="G31" s="302">
        <v>3.6814943447383111</v>
      </c>
      <c r="H31" s="302">
        <f t="shared" si="29"/>
        <v>10.718937303298363</v>
      </c>
      <c r="I31" s="303"/>
      <c r="J31" s="302">
        <v>6.1685674132687227</v>
      </c>
      <c r="K31" s="302">
        <v>4.8193307561501575</v>
      </c>
      <c r="L31" s="302">
        <f t="shared" si="30"/>
        <v>10.98789816941888</v>
      </c>
      <c r="M31" s="236"/>
      <c r="N31" s="236"/>
    </row>
    <row r="32" spans="1:14" x14ac:dyDescent="0.3">
      <c r="A32" s="237" t="str">
        <f>name!E$10</f>
        <v>Sales and customer service occupations</v>
      </c>
      <c r="B32" s="302">
        <v>2.3833746199604553</v>
      </c>
      <c r="C32" s="302">
        <v>3.1892069180076104</v>
      </c>
      <c r="D32" s="302">
        <f t="shared" si="28"/>
        <v>5.5725815379680661</v>
      </c>
      <c r="E32" s="303"/>
      <c r="F32" s="302">
        <v>2.3106822884694993</v>
      </c>
      <c r="G32" s="302">
        <v>3.1279165751104352</v>
      </c>
      <c r="H32" s="302">
        <f t="shared" si="29"/>
        <v>5.4385988635799345</v>
      </c>
      <c r="I32" s="303"/>
      <c r="J32" s="302">
        <v>2.0735031585868788</v>
      </c>
      <c r="K32" s="302">
        <v>3.5144506270361484</v>
      </c>
      <c r="L32" s="302">
        <f t="shared" si="30"/>
        <v>5.5879537856230268</v>
      </c>
      <c r="M32" s="236"/>
      <c r="N32" s="236"/>
    </row>
    <row r="33" spans="1:18" x14ac:dyDescent="0.3">
      <c r="A33" s="237" t="str">
        <f>name!E$11</f>
        <v>Process, plant and machine operatives</v>
      </c>
      <c r="B33" s="302">
        <v>2.0756717022711815</v>
      </c>
      <c r="C33" s="302">
        <v>10.660287165939565</v>
      </c>
      <c r="D33" s="302">
        <f t="shared" si="28"/>
        <v>12.735958868210746</v>
      </c>
      <c r="E33" s="303"/>
      <c r="F33" s="302">
        <v>2.243040162751492</v>
      </c>
      <c r="G33" s="302">
        <v>7.8666787133439433</v>
      </c>
      <c r="H33" s="302">
        <f t="shared" si="29"/>
        <v>10.109718876095435</v>
      </c>
      <c r="I33" s="303"/>
      <c r="J33" s="302">
        <v>3.1074467851513634</v>
      </c>
      <c r="K33" s="302">
        <v>8.8276263734037794</v>
      </c>
      <c r="L33" s="302">
        <f t="shared" si="30"/>
        <v>11.935073158555143</v>
      </c>
      <c r="M33" s="236"/>
      <c r="N33" s="236"/>
    </row>
    <row r="34" spans="1:18" x14ac:dyDescent="0.3">
      <c r="A34" s="237" t="str">
        <f>name!E$12</f>
        <v>Elementary occupations</v>
      </c>
      <c r="B34" s="302">
        <v>13.371055291754187</v>
      </c>
      <c r="C34" s="302">
        <v>30.019203529809353</v>
      </c>
      <c r="D34" s="302">
        <f t="shared" si="28"/>
        <v>43.390258821563542</v>
      </c>
      <c r="E34" s="303"/>
      <c r="F34" s="302">
        <v>11.396102427057887</v>
      </c>
      <c r="G34" s="302">
        <v>21.303630805209544</v>
      </c>
      <c r="H34" s="302">
        <f t="shared" si="29"/>
        <v>32.699733232267434</v>
      </c>
      <c r="I34" s="303"/>
      <c r="J34" s="302">
        <v>10.441973957816991</v>
      </c>
      <c r="K34" s="302">
        <v>20.633801449967368</v>
      </c>
      <c r="L34" s="302">
        <f t="shared" si="30"/>
        <v>31.075775407784359</v>
      </c>
      <c r="M34" s="236"/>
      <c r="N34" s="236"/>
    </row>
    <row r="35" spans="1:18" x14ac:dyDescent="0.3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3">
      <c r="A36" s="244" t="s">
        <v>32</v>
      </c>
      <c r="B36" s="311">
        <f>SUM(B26:B34)</f>
        <v>70.443000000646478</v>
      </c>
      <c r="C36" s="311">
        <f t="shared" ref="C36:K36" si="31">SUM(C26:C34)</f>
        <v>192.22100000023076</v>
      </c>
      <c r="D36" s="311">
        <f t="shared" si="31"/>
        <v>262.66400000087725</v>
      </c>
      <c r="E36" s="311"/>
      <c r="F36" s="311">
        <f t="shared" si="31"/>
        <v>74.558999999624888</v>
      </c>
      <c r="G36" s="311">
        <f t="shared" si="31"/>
        <v>165.13499999912963</v>
      </c>
      <c r="H36" s="311">
        <f t="shared" si="31"/>
        <v>239.69399999875452</v>
      </c>
      <c r="I36" s="311"/>
      <c r="J36" s="311">
        <f t="shared" si="31"/>
        <v>75.614999999694874</v>
      </c>
      <c r="K36" s="311">
        <f t="shared" si="31"/>
        <v>173.53399999839573</v>
      </c>
      <c r="L36" s="311">
        <f>SUM(L26:L34)</f>
        <v>249.14899999809063</v>
      </c>
      <c r="M36" s="236"/>
      <c r="N36" s="236"/>
    </row>
    <row r="37" spans="1:18" x14ac:dyDescent="0.3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3">
      <c r="A40" s="241" t="str">
        <f>name!A5</f>
        <v>Coal, oil &amp; gas; Mining &amp; related</v>
      </c>
      <c r="B40" s="373">
        <f>B$6</f>
        <v>2015</v>
      </c>
      <c r="C40" s="373"/>
      <c r="D40" s="373"/>
      <c r="E40" s="253"/>
      <c r="F40" s="373">
        <f>F23</f>
        <v>2020</v>
      </c>
      <c r="G40" s="373"/>
      <c r="H40" s="373"/>
      <c r="I40" s="253"/>
      <c r="J40" s="373">
        <f>J23</f>
        <v>2035</v>
      </c>
      <c r="K40" s="373"/>
      <c r="L40" s="373"/>
      <c r="M40" s="236"/>
      <c r="N40" s="236"/>
    </row>
    <row r="41" spans="1:18" x14ac:dyDescent="0.3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3">
      <c r="A43" s="237" t="str">
        <f>name!E$4</f>
        <v>Managers, directors and senior officials</v>
      </c>
      <c r="B43" s="302">
        <v>0.39468221358800631</v>
      </c>
      <c r="C43" s="302">
        <v>3.2643666877354502</v>
      </c>
      <c r="D43" s="302">
        <f>SUM(B43:C43)</f>
        <v>3.6590489013234566</v>
      </c>
      <c r="E43" s="303"/>
      <c r="F43" s="302">
        <v>0.29351156103740067</v>
      </c>
      <c r="G43" s="302">
        <v>3.3495465838435101</v>
      </c>
      <c r="H43" s="302">
        <f>SUM(F43:G43)</f>
        <v>3.6430581448809107</v>
      </c>
      <c r="I43" s="303"/>
      <c r="J43" s="302">
        <v>0.20565612947911818</v>
      </c>
      <c r="K43" s="302">
        <v>2.2811596056427694</v>
      </c>
      <c r="L43" s="302">
        <f>SUM(J43:K43)</f>
        <v>2.4868157351218878</v>
      </c>
      <c r="M43" s="236"/>
      <c r="N43" s="236"/>
    </row>
    <row r="44" spans="1:18" x14ac:dyDescent="0.3">
      <c r="A44" s="237" t="str">
        <f>name!E$5</f>
        <v>Professional occupations</v>
      </c>
      <c r="B44" s="302">
        <v>0.81032423255039587</v>
      </c>
      <c r="C44" s="302">
        <v>3.6781409594837577</v>
      </c>
      <c r="D44" s="302">
        <f t="shared" ref="D44:D51" si="32">SUM(B44:C44)</f>
        <v>4.4884651920341536</v>
      </c>
      <c r="E44" s="303"/>
      <c r="F44" s="302">
        <v>1.0065140793973613</v>
      </c>
      <c r="G44" s="302">
        <v>3.7495104602259981</v>
      </c>
      <c r="H44" s="302">
        <f t="shared" ref="H44:H51" si="33">SUM(F44:G44)</f>
        <v>4.7560245396233594</v>
      </c>
      <c r="I44" s="303"/>
      <c r="J44" s="302">
        <v>0.60611632925550674</v>
      </c>
      <c r="K44" s="302">
        <v>2.5874722325097217</v>
      </c>
      <c r="L44" s="302">
        <f t="shared" ref="L44:L51" si="34">SUM(J44:K44)</f>
        <v>3.1935885617652282</v>
      </c>
      <c r="M44" s="236"/>
      <c r="N44" s="236"/>
    </row>
    <row r="45" spans="1:18" x14ac:dyDescent="0.3">
      <c r="A45" s="237" t="str">
        <f>name!E$6</f>
        <v>Associate professional occupations</v>
      </c>
      <c r="B45" s="302">
        <v>0.61279873883104297</v>
      </c>
      <c r="C45" s="302">
        <v>2.7151709038007912</v>
      </c>
      <c r="D45" s="302">
        <f t="shared" si="32"/>
        <v>3.3279696426318344</v>
      </c>
      <c r="E45" s="303"/>
      <c r="F45" s="302">
        <v>0.58312792524422208</v>
      </c>
      <c r="G45" s="302">
        <v>2.8242981487467604</v>
      </c>
      <c r="H45" s="302">
        <f t="shared" si="33"/>
        <v>3.4074260739909823</v>
      </c>
      <c r="I45" s="303"/>
      <c r="J45" s="302">
        <v>0.43182194701492954</v>
      </c>
      <c r="K45" s="302">
        <v>1.5286337689985368</v>
      </c>
      <c r="L45" s="302">
        <f t="shared" si="34"/>
        <v>1.9604557160134664</v>
      </c>
      <c r="M45" s="236"/>
      <c r="N45" s="236"/>
    </row>
    <row r="46" spans="1:18" x14ac:dyDescent="0.3">
      <c r="A46" s="237" t="str">
        <f>name!E$7</f>
        <v>Administrative and secretarial occupations</v>
      </c>
      <c r="B46" s="302">
        <v>1.2370626461462089</v>
      </c>
      <c r="C46" s="302">
        <v>0.83167970725721929</v>
      </c>
      <c r="D46" s="302">
        <f t="shared" si="32"/>
        <v>2.0687423534034282</v>
      </c>
      <c r="E46" s="303"/>
      <c r="F46" s="302">
        <v>0.96104001584235643</v>
      </c>
      <c r="G46" s="302">
        <v>0.8262775546348281</v>
      </c>
      <c r="H46" s="302">
        <f t="shared" si="33"/>
        <v>1.7873175704771844</v>
      </c>
      <c r="I46" s="303"/>
      <c r="J46" s="302">
        <v>0.41160599566043926</v>
      </c>
      <c r="K46" s="302">
        <v>0.53948591105716026</v>
      </c>
      <c r="L46" s="302">
        <f t="shared" si="34"/>
        <v>0.95109190671759958</v>
      </c>
      <c r="M46" s="236"/>
      <c r="N46" s="236"/>
    </row>
    <row r="47" spans="1:18" x14ac:dyDescent="0.3">
      <c r="A47" s="237" t="str">
        <f>name!E$8</f>
        <v>Skilled trades occupations</v>
      </c>
      <c r="B47" s="302">
        <v>9.6861950406826727E-2</v>
      </c>
      <c r="C47" s="302">
        <v>6.4150290064365389</v>
      </c>
      <c r="D47" s="302">
        <f t="shared" si="32"/>
        <v>6.5118909568433656</v>
      </c>
      <c r="E47" s="303"/>
      <c r="F47" s="302">
        <v>6.4221909176446754E-2</v>
      </c>
      <c r="G47" s="302">
        <v>4.2584457744064181</v>
      </c>
      <c r="H47" s="302">
        <f>SUM(F47:G47)</f>
        <v>4.322667683582865</v>
      </c>
      <c r="I47" s="303"/>
      <c r="J47" s="302">
        <v>4.5462228908648705E-2</v>
      </c>
      <c r="K47" s="302">
        <v>2.0336420889136098</v>
      </c>
      <c r="L47" s="302">
        <f t="shared" si="34"/>
        <v>2.0791043178222584</v>
      </c>
      <c r="M47" s="236"/>
      <c r="N47" s="236"/>
    </row>
    <row r="48" spans="1:18" x14ac:dyDescent="0.3">
      <c r="A48" s="237" t="str">
        <f>name!E$9</f>
        <v>Caring, leisure and other service occupations</v>
      </c>
      <c r="B48" s="302">
        <v>0.39043761359754958</v>
      </c>
      <c r="C48" s="302">
        <v>0.31176033385931068</v>
      </c>
      <c r="D48" s="302">
        <f t="shared" si="32"/>
        <v>0.70219794745686026</v>
      </c>
      <c r="E48" s="303"/>
      <c r="F48" s="302">
        <v>0.31896415782308213</v>
      </c>
      <c r="G48" s="302">
        <v>0.28433253696417016</v>
      </c>
      <c r="H48" s="302">
        <f t="shared" si="33"/>
        <v>0.60329669478725223</v>
      </c>
      <c r="I48" s="303"/>
      <c r="J48" s="302">
        <v>0.20988112303483764</v>
      </c>
      <c r="K48" s="302">
        <v>0.2031699237727265</v>
      </c>
      <c r="L48" s="302">
        <f t="shared" si="34"/>
        <v>0.4130510468075641</v>
      </c>
      <c r="M48" s="236"/>
      <c r="N48" s="236"/>
    </row>
    <row r="49" spans="1:14" x14ac:dyDescent="0.3">
      <c r="A49" s="237" t="str">
        <f>name!E$10</f>
        <v>Sales and customer service occupations</v>
      </c>
      <c r="B49" s="302">
        <v>0.33198736629013059</v>
      </c>
      <c r="C49" s="302">
        <v>0.51192816959645726</v>
      </c>
      <c r="D49" s="302">
        <f t="shared" si="32"/>
        <v>0.84391553588658785</v>
      </c>
      <c r="E49" s="303"/>
      <c r="F49" s="302">
        <v>0.26828261891498878</v>
      </c>
      <c r="G49" s="302">
        <v>0.37861565119762797</v>
      </c>
      <c r="H49" s="302">
        <f t="shared" si="33"/>
        <v>0.64689827011261669</v>
      </c>
      <c r="I49" s="303"/>
      <c r="J49" s="302">
        <v>0.14221512961215063</v>
      </c>
      <c r="K49" s="302">
        <v>0.25858717146066829</v>
      </c>
      <c r="L49" s="302">
        <f t="shared" si="34"/>
        <v>0.40080230107281889</v>
      </c>
      <c r="M49" s="236"/>
      <c r="N49" s="236"/>
    </row>
    <row r="50" spans="1:14" x14ac:dyDescent="0.3">
      <c r="A50" s="237" t="str">
        <f>name!E$11</f>
        <v>Process, plant and machine operatives</v>
      </c>
      <c r="B50" s="302">
        <v>0.12112667042776773</v>
      </c>
      <c r="C50" s="302">
        <v>5.8851363634574989</v>
      </c>
      <c r="D50" s="302">
        <f t="shared" si="32"/>
        <v>6.0062630338852667</v>
      </c>
      <c r="E50" s="303"/>
      <c r="F50" s="302">
        <v>5.1907169268727231E-2</v>
      </c>
      <c r="G50" s="302">
        <v>4.4068828175744388</v>
      </c>
      <c r="H50" s="302">
        <f t="shared" si="33"/>
        <v>4.4587899868431657</v>
      </c>
      <c r="I50" s="303"/>
      <c r="J50" s="302">
        <v>4.5527040151383182E-2</v>
      </c>
      <c r="K50" s="302">
        <v>2.703696559586735</v>
      </c>
      <c r="L50" s="302">
        <f t="shared" si="34"/>
        <v>2.749223599738118</v>
      </c>
      <c r="M50" s="236"/>
      <c r="N50" s="236"/>
    </row>
    <row r="51" spans="1:14" x14ac:dyDescent="0.3">
      <c r="A51" s="237" t="str">
        <f>name!E$12</f>
        <v>Elementary occupations</v>
      </c>
      <c r="B51" s="302">
        <v>0.25271856814105709</v>
      </c>
      <c r="C51" s="302">
        <v>2.5337878682517605</v>
      </c>
      <c r="D51" s="302">
        <f t="shared" si="32"/>
        <v>2.7865064363928176</v>
      </c>
      <c r="E51" s="303"/>
      <c r="F51" s="302">
        <v>0.1544305632797624</v>
      </c>
      <c r="G51" s="302">
        <v>0.72609047241978408</v>
      </c>
      <c r="H51" s="302">
        <f t="shared" si="33"/>
        <v>0.88052103569954654</v>
      </c>
      <c r="I51" s="303"/>
      <c r="J51" s="302">
        <v>7.3714076888439131E-2</v>
      </c>
      <c r="K51" s="302">
        <v>0.39015273809566975</v>
      </c>
      <c r="L51" s="302">
        <f t="shared" si="34"/>
        <v>0.46386681498410887</v>
      </c>
      <c r="M51" s="236"/>
      <c r="N51" s="236"/>
    </row>
    <row r="52" spans="1:14" x14ac:dyDescent="0.3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3">
      <c r="A53" s="244" t="s">
        <v>32</v>
      </c>
      <c r="B53" s="311">
        <f>SUM(B43:B51)</f>
        <v>4.2479999999789859</v>
      </c>
      <c r="C53" s="311">
        <f t="shared" ref="C53:L53" si="35">SUM(C43:C51)</f>
        <v>26.146999999878783</v>
      </c>
      <c r="D53" s="311">
        <f t="shared" si="35"/>
        <v>30.39499999985777</v>
      </c>
      <c r="E53" s="311"/>
      <c r="F53" s="311">
        <f t="shared" si="35"/>
        <v>3.7019999999843476</v>
      </c>
      <c r="G53" s="311">
        <f t="shared" si="35"/>
        <v>20.804000000013534</v>
      </c>
      <c r="H53" s="311">
        <f t="shared" si="35"/>
        <v>24.505999999997883</v>
      </c>
      <c r="I53" s="311"/>
      <c r="J53" s="311">
        <f t="shared" si="35"/>
        <v>2.1720000000054527</v>
      </c>
      <c r="K53" s="311">
        <f t="shared" si="35"/>
        <v>12.526000000037598</v>
      </c>
      <c r="L53" s="311">
        <f t="shared" si="35"/>
        <v>14.698000000043049</v>
      </c>
      <c r="M53" s="236"/>
      <c r="N53" s="236"/>
    </row>
    <row r="54" spans="1:14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3">
      <c r="A57" s="241" t="str">
        <f>name!A6</f>
        <v>Food products</v>
      </c>
      <c r="B57" s="373">
        <f>B$6</f>
        <v>2015</v>
      </c>
      <c r="C57" s="373"/>
      <c r="D57" s="373"/>
      <c r="E57" s="253"/>
      <c r="F57" s="373">
        <f>F40</f>
        <v>2020</v>
      </c>
      <c r="G57" s="373"/>
      <c r="H57" s="373"/>
      <c r="I57" s="253"/>
      <c r="J57" s="373">
        <f>J40</f>
        <v>2035</v>
      </c>
      <c r="K57" s="373"/>
      <c r="L57" s="373"/>
      <c r="M57" s="236"/>
      <c r="N57" s="236"/>
    </row>
    <row r="58" spans="1:14" x14ac:dyDescent="0.3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3">
      <c r="A60" s="237" t="str">
        <f>name!E$4</f>
        <v>Managers, directors and senior officials</v>
      </c>
      <c r="B60" s="302">
        <v>7.6302025114303129</v>
      </c>
      <c r="C60" s="302">
        <v>16.917228936025733</v>
      </c>
      <c r="D60" s="302">
        <f>SUM(B60:C60)</f>
        <v>24.547431447456045</v>
      </c>
      <c r="E60" s="303"/>
      <c r="F60" s="302">
        <v>11.295978980902726</v>
      </c>
      <c r="G60" s="302">
        <v>21.982766409467793</v>
      </c>
      <c r="H60" s="302">
        <f>SUM(F60:G60)</f>
        <v>33.278745390370517</v>
      </c>
      <c r="I60" s="303"/>
      <c r="J60" s="302">
        <v>13.998593789680504</v>
      </c>
      <c r="K60" s="302">
        <v>20.931045223112015</v>
      </c>
      <c r="L60" s="302">
        <f>SUM(J60:K60)</f>
        <v>34.929639012792521</v>
      </c>
      <c r="M60" s="236"/>
      <c r="N60" s="236"/>
    </row>
    <row r="61" spans="1:14" x14ac:dyDescent="0.3">
      <c r="A61" s="237" t="str">
        <f>name!E$5</f>
        <v>Professional occupations</v>
      </c>
      <c r="B61" s="302">
        <v>7.9178817808414905</v>
      </c>
      <c r="C61" s="302">
        <v>11.808232738152523</v>
      </c>
      <c r="D61" s="302">
        <f t="shared" ref="D61:D68" si="36">SUM(B61:C61)</f>
        <v>19.726114518994013</v>
      </c>
      <c r="E61" s="303"/>
      <c r="F61" s="302">
        <v>12.627456825338228</v>
      </c>
      <c r="G61" s="302">
        <v>16.845504664129116</v>
      </c>
      <c r="H61" s="302">
        <f t="shared" ref="H61:H68" si="37">SUM(F61:G61)</f>
        <v>29.472961489467345</v>
      </c>
      <c r="I61" s="303"/>
      <c r="J61" s="302">
        <v>17.398594566547697</v>
      </c>
      <c r="K61" s="302">
        <v>20.993182218042246</v>
      </c>
      <c r="L61" s="302">
        <f t="shared" ref="L61:L68" si="38">SUM(J61:K61)</f>
        <v>38.391776784589943</v>
      </c>
      <c r="M61" s="236"/>
      <c r="N61" s="236"/>
    </row>
    <row r="62" spans="1:14" x14ac:dyDescent="0.3">
      <c r="A62" s="237" t="str">
        <f>name!E$6</f>
        <v>Associate professional occupations</v>
      </c>
      <c r="B62" s="302">
        <v>11.19850613845218</v>
      </c>
      <c r="C62" s="302">
        <v>16.692832632631301</v>
      </c>
      <c r="D62" s="302">
        <f t="shared" si="36"/>
        <v>27.891338771083483</v>
      </c>
      <c r="E62" s="303"/>
      <c r="F62" s="302">
        <v>15.725838596298866</v>
      </c>
      <c r="G62" s="302">
        <v>23.10826034147571</v>
      </c>
      <c r="H62" s="302">
        <f t="shared" si="37"/>
        <v>38.834098937774577</v>
      </c>
      <c r="I62" s="303"/>
      <c r="J62" s="302">
        <v>18.681124758770331</v>
      </c>
      <c r="K62" s="302">
        <v>20.622601173723613</v>
      </c>
      <c r="L62" s="302">
        <f t="shared" si="38"/>
        <v>39.303725932493947</v>
      </c>
      <c r="M62" s="236"/>
      <c r="N62" s="236"/>
    </row>
    <row r="63" spans="1:14" x14ac:dyDescent="0.3">
      <c r="A63" s="237" t="str">
        <f>name!E$7</f>
        <v>Administrative and secretarial occupations</v>
      </c>
      <c r="B63" s="302">
        <v>14.569620091443955</v>
      </c>
      <c r="C63" s="302">
        <v>8.3834427919946233</v>
      </c>
      <c r="D63" s="302">
        <f t="shared" si="36"/>
        <v>22.953062883438577</v>
      </c>
      <c r="E63" s="303"/>
      <c r="F63" s="302">
        <v>16.000297744638456</v>
      </c>
      <c r="G63" s="302">
        <v>10.973854072321704</v>
      </c>
      <c r="H63" s="302">
        <f t="shared" si="37"/>
        <v>26.974151816960159</v>
      </c>
      <c r="I63" s="303"/>
      <c r="J63" s="302">
        <v>15.418591369189398</v>
      </c>
      <c r="K63" s="302">
        <v>9.728700204188474</v>
      </c>
      <c r="L63" s="302">
        <f t="shared" si="38"/>
        <v>25.147291573377871</v>
      </c>
      <c r="M63" s="236"/>
      <c r="N63" s="236"/>
    </row>
    <row r="64" spans="1:14" x14ac:dyDescent="0.3">
      <c r="A64" s="237" t="str">
        <f>name!E$8</f>
        <v>Skilled trades occupations</v>
      </c>
      <c r="B64" s="302">
        <v>9.1163071942144054</v>
      </c>
      <c r="C64" s="302">
        <v>37.933612291061173</v>
      </c>
      <c r="D64" s="302">
        <f t="shared" si="36"/>
        <v>47.049919485275581</v>
      </c>
      <c r="E64" s="303"/>
      <c r="F64" s="302">
        <v>9.3314524383747877</v>
      </c>
      <c r="G64" s="302">
        <v>33.165646894911333</v>
      </c>
      <c r="H64" s="302">
        <f t="shared" si="37"/>
        <v>42.497099333286123</v>
      </c>
      <c r="I64" s="303"/>
      <c r="J64" s="302">
        <v>7.6582105478864966</v>
      </c>
      <c r="K64" s="302">
        <v>29.683212158887564</v>
      </c>
      <c r="L64" s="302">
        <f t="shared" si="38"/>
        <v>37.341422706774061</v>
      </c>
      <c r="M64" s="236"/>
      <c r="N64" s="236"/>
    </row>
    <row r="65" spans="1:14" x14ac:dyDescent="0.3">
      <c r="A65" s="237" t="str">
        <f>name!E$9</f>
        <v>Caring, leisure and other service occupations</v>
      </c>
      <c r="B65" s="302">
        <v>1.0659996227723361</v>
      </c>
      <c r="C65" s="302">
        <v>1.2216276319095789</v>
      </c>
      <c r="D65" s="302">
        <f t="shared" si="36"/>
        <v>2.2876272546819152</v>
      </c>
      <c r="E65" s="303"/>
      <c r="F65" s="302">
        <v>1.139041451301392</v>
      </c>
      <c r="G65" s="302">
        <v>1.5602568381822395</v>
      </c>
      <c r="H65" s="302">
        <f t="shared" si="37"/>
        <v>2.6992982894836315</v>
      </c>
      <c r="I65" s="303"/>
      <c r="J65" s="302">
        <v>1.1406527719499273</v>
      </c>
      <c r="K65" s="302">
        <v>1.5382115854889469</v>
      </c>
      <c r="L65" s="302">
        <f t="shared" si="38"/>
        <v>2.678864357438874</v>
      </c>
      <c r="M65" s="236"/>
      <c r="N65" s="236"/>
    </row>
    <row r="66" spans="1:14" x14ac:dyDescent="0.3">
      <c r="A66" s="237" t="str">
        <f>name!E$10</f>
        <v>Sales and customer service occupations</v>
      </c>
      <c r="B66" s="302">
        <v>6.4112346068087112</v>
      </c>
      <c r="C66" s="302">
        <v>6.3563969222417347</v>
      </c>
      <c r="D66" s="302">
        <f t="shared" si="36"/>
        <v>12.767631529050446</v>
      </c>
      <c r="E66" s="303"/>
      <c r="F66" s="302">
        <v>6.6187649031910079</v>
      </c>
      <c r="G66" s="302">
        <v>6.8884173163758193</v>
      </c>
      <c r="H66" s="302">
        <f t="shared" si="37"/>
        <v>13.507182219566827</v>
      </c>
      <c r="I66" s="303"/>
      <c r="J66" s="302">
        <v>6.6118343508682687</v>
      </c>
      <c r="K66" s="302">
        <v>6.9237577260883096</v>
      </c>
      <c r="L66" s="302">
        <f t="shared" si="38"/>
        <v>13.535592076956579</v>
      </c>
      <c r="M66" s="236"/>
      <c r="N66" s="236"/>
    </row>
    <row r="67" spans="1:14" x14ac:dyDescent="0.3">
      <c r="A67" s="237" t="str">
        <f>name!E$11</f>
        <v>Process, plant and machine operatives</v>
      </c>
      <c r="B67" s="302">
        <v>27.316173057348326</v>
      </c>
      <c r="C67" s="302">
        <v>72.751672121797569</v>
      </c>
      <c r="D67" s="302">
        <f t="shared" si="36"/>
        <v>100.06784517914589</v>
      </c>
      <c r="E67" s="303"/>
      <c r="F67" s="302">
        <v>26.074087744074813</v>
      </c>
      <c r="G67" s="302">
        <v>68.078418313006281</v>
      </c>
      <c r="H67" s="302">
        <f t="shared" si="37"/>
        <v>94.152506057081098</v>
      </c>
      <c r="I67" s="303"/>
      <c r="J67" s="302">
        <v>27.279732629444123</v>
      </c>
      <c r="K67" s="302">
        <v>68.156877614882362</v>
      </c>
      <c r="L67" s="302">
        <f t="shared" si="38"/>
        <v>95.436610244326488</v>
      </c>
      <c r="M67" s="236"/>
      <c r="N67" s="236"/>
    </row>
    <row r="68" spans="1:14" x14ac:dyDescent="0.3">
      <c r="A68" s="237" t="str">
        <f>name!E$12</f>
        <v>Elementary occupations</v>
      </c>
      <c r="B68" s="302">
        <v>25.709074997389202</v>
      </c>
      <c r="C68" s="302">
        <v>29.083953934771589</v>
      </c>
      <c r="D68" s="302">
        <f t="shared" si="36"/>
        <v>54.793028932160794</v>
      </c>
      <c r="E68" s="303"/>
      <c r="F68" s="302">
        <v>22.727081315965957</v>
      </c>
      <c r="G68" s="302">
        <v>28.150875150416709</v>
      </c>
      <c r="H68" s="302">
        <f t="shared" si="37"/>
        <v>50.87795646638267</v>
      </c>
      <c r="I68" s="303"/>
      <c r="J68" s="302">
        <v>20.074665214897788</v>
      </c>
      <c r="K68" s="302">
        <v>21.20841209589182</v>
      </c>
      <c r="L68" s="302">
        <f t="shared" si="38"/>
        <v>41.283077310789608</v>
      </c>
      <c r="M68" s="236"/>
      <c r="N68" s="236"/>
    </row>
    <row r="69" spans="1:14" x14ac:dyDescent="0.3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3">
      <c r="A70" s="244" t="s">
        <v>32</v>
      </c>
      <c r="B70" s="311">
        <f>SUM(B60:B68)</f>
        <v>110.93500000070091</v>
      </c>
      <c r="C70" s="311">
        <f t="shared" ref="C70:L70" si="39">SUM(C60:C68)</f>
        <v>201.1490000005858</v>
      </c>
      <c r="D70" s="311">
        <f t="shared" si="39"/>
        <v>312.08400000128671</v>
      </c>
      <c r="E70" s="311"/>
      <c r="F70" s="311">
        <f t="shared" si="39"/>
        <v>121.54000000008624</v>
      </c>
      <c r="G70" s="311">
        <f t="shared" si="39"/>
        <v>210.75400000028671</v>
      </c>
      <c r="H70" s="311">
        <f t="shared" si="39"/>
        <v>332.29400000037293</v>
      </c>
      <c r="I70" s="311"/>
      <c r="J70" s="311">
        <f t="shared" si="39"/>
        <v>128.26199999923452</v>
      </c>
      <c r="K70" s="311">
        <f t="shared" si="39"/>
        <v>199.78600000030534</v>
      </c>
      <c r="L70" s="311">
        <f t="shared" si="39"/>
        <v>328.04799999953991</v>
      </c>
      <c r="M70" s="236"/>
      <c r="N70" s="236"/>
    </row>
    <row r="71" spans="1:14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3">
      <c r="A74" s="241" t="str">
        <f>name!A7</f>
        <v>Beverages and tobacco</v>
      </c>
      <c r="B74" s="373">
        <f>B$6</f>
        <v>2015</v>
      </c>
      <c r="C74" s="373"/>
      <c r="D74" s="373"/>
      <c r="E74" s="253"/>
      <c r="F74" s="373">
        <f>F57</f>
        <v>2020</v>
      </c>
      <c r="G74" s="373"/>
      <c r="H74" s="373"/>
      <c r="I74" s="253"/>
      <c r="J74" s="373">
        <f>J57</f>
        <v>2035</v>
      </c>
      <c r="K74" s="373"/>
      <c r="L74" s="373"/>
      <c r="M74" s="236"/>
      <c r="N74" s="236"/>
    </row>
    <row r="75" spans="1:14" x14ac:dyDescent="0.3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3">
      <c r="A77" s="237" t="str">
        <f>name!E$4</f>
        <v>Managers, directors and senior officials</v>
      </c>
      <c r="B77" s="302">
        <v>1.1802147126580194</v>
      </c>
      <c r="C77" s="302">
        <v>2.1555865042854232</v>
      </c>
      <c r="D77" s="302">
        <f>SUM(B77:C77)</f>
        <v>3.3358012169434428</v>
      </c>
      <c r="E77" s="303"/>
      <c r="F77" s="302">
        <v>1.8175266894244024</v>
      </c>
      <c r="G77" s="302">
        <v>3.2354165262428234</v>
      </c>
      <c r="H77" s="302">
        <f>SUM(F77:G77)</f>
        <v>5.0529432156672254</v>
      </c>
      <c r="I77" s="303"/>
      <c r="J77" s="302">
        <v>2.1090768465510155</v>
      </c>
      <c r="K77" s="302">
        <v>3.0116838647013582</v>
      </c>
      <c r="L77" s="302">
        <f>SUM(J77:K77)</f>
        <v>5.1207607112523732</v>
      </c>
      <c r="M77" s="236"/>
      <c r="N77" s="236"/>
    </row>
    <row r="78" spans="1:14" x14ac:dyDescent="0.3">
      <c r="A78" s="237" t="str">
        <f>name!E$5</f>
        <v>Professional occupations</v>
      </c>
      <c r="B78" s="302">
        <v>1.2966956274906565</v>
      </c>
      <c r="C78" s="302">
        <v>2.5736504185470128</v>
      </c>
      <c r="D78" s="302">
        <f t="shared" ref="D78:D85" si="40">SUM(B78:C78)</f>
        <v>3.8703460460376693</v>
      </c>
      <c r="E78" s="303"/>
      <c r="F78" s="302">
        <v>2.1802677216978399</v>
      </c>
      <c r="G78" s="302">
        <v>4.0048425358633457</v>
      </c>
      <c r="H78" s="302">
        <f t="shared" ref="H78:H85" si="41">SUM(F78:G78)</f>
        <v>6.1851102575611856</v>
      </c>
      <c r="I78" s="303"/>
      <c r="J78" s="302">
        <v>2.454280231672</v>
      </c>
      <c r="K78" s="302">
        <v>4.7489153671907021</v>
      </c>
      <c r="L78" s="302">
        <f t="shared" ref="L78:L85" si="42">SUM(J78:K78)</f>
        <v>7.2031955988627026</v>
      </c>
      <c r="M78" s="236"/>
      <c r="N78" s="236"/>
    </row>
    <row r="79" spans="1:14" x14ac:dyDescent="0.3">
      <c r="A79" s="237" t="str">
        <f>name!E$6</f>
        <v>Associate professional occupations</v>
      </c>
      <c r="B79" s="302">
        <v>1.6441925727680122</v>
      </c>
      <c r="C79" s="302">
        <v>2.6937374178098241</v>
      </c>
      <c r="D79" s="302">
        <f t="shared" si="40"/>
        <v>4.3379299905778366</v>
      </c>
      <c r="E79" s="303"/>
      <c r="F79" s="302">
        <v>2.569477558927002</v>
      </c>
      <c r="G79" s="302">
        <v>3.9557320576552639</v>
      </c>
      <c r="H79" s="302">
        <f t="shared" si="41"/>
        <v>6.5252096165822664</v>
      </c>
      <c r="I79" s="303"/>
      <c r="J79" s="302">
        <v>2.6388872492762148</v>
      </c>
      <c r="K79" s="302">
        <v>3.5738687525615451</v>
      </c>
      <c r="L79" s="302">
        <f t="shared" si="42"/>
        <v>6.2127560018377599</v>
      </c>
      <c r="M79" s="236"/>
      <c r="N79" s="236"/>
    </row>
    <row r="80" spans="1:14" x14ac:dyDescent="0.3">
      <c r="A80" s="237" t="str">
        <f>name!E$7</f>
        <v>Administrative and secretarial occupations</v>
      </c>
      <c r="B80" s="302">
        <v>2.1349263910486247</v>
      </c>
      <c r="C80" s="302">
        <v>0.50836913953924578</v>
      </c>
      <c r="D80" s="302">
        <f t="shared" si="40"/>
        <v>2.6432955305878707</v>
      </c>
      <c r="E80" s="303"/>
      <c r="F80" s="302">
        <v>2.5227269257627558</v>
      </c>
      <c r="G80" s="302">
        <v>0.82374237142530227</v>
      </c>
      <c r="H80" s="302">
        <f t="shared" si="41"/>
        <v>3.3464692971880581</v>
      </c>
      <c r="I80" s="303"/>
      <c r="J80" s="302">
        <v>1.8254802575308908</v>
      </c>
      <c r="K80" s="302">
        <v>0.822038640061451</v>
      </c>
      <c r="L80" s="302">
        <f t="shared" si="42"/>
        <v>2.6475188975923416</v>
      </c>
      <c r="M80" s="236"/>
      <c r="N80" s="236"/>
    </row>
    <row r="81" spans="1:14" x14ac:dyDescent="0.3">
      <c r="A81" s="237" t="str">
        <f>name!E$8</f>
        <v>Skilled trades occupations</v>
      </c>
      <c r="B81" s="302">
        <v>0.24817991077386239</v>
      </c>
      <c r="C81" s="302">
        <v>1.8985073034793012</v>
      </c>
      <c r="D81" s="302">
        <f t="shared" si="40"/>
        <v>2.1466872142531637</v>
      </c>
      <c r="E81" s="303"/>
      <c r="F81" s="302">
        <v>0.33704487425547802</v>
      </c>
      <c r="G81" s="302">
        <v>2.0349913665687196</v>
      </c>
      <c r="H81" s="302">
        <f t="shared" si="41"/>
        <v>2.3720362408241975</v>
      </c>
      <c r="I81" s="303"/>
      <c r="J81" s="302">
        <v>0.45941420499678443</v>
      </c>
      <c r="K81" s="302">
        <v>1.5814678929535722</v>
      </c>
      <c r="L81" s="302">
        <f t="shared" si="42"/>
        <v>2.0408820979503566</v>
      </c>
      <c r="M81" s="236"/>
      <c r="N81" s="236"/>
    </row>
    <row r="82" spans="1:14" x14ac:dyDescent="0.3">
      <c r="A82" s="237" t="str">
        <f>name!E$9</f>
        <v>Caring, leisure and other service occupations</v>
      </c>
      <c r="B82" s="302">
        <v>0.76112945422024436</v>
      </c>
      <c r="C82" s="302">
        <v>0.24217783369173113</v>
      </c>
      <c r="D82" s="302">
        <f t="shared" si="40"/>
        <v>1.0033072879119755</v>
      </c>
      <c r="E82" s="303"/>
      <c r="F82" s="302">
        <v>0.89056854540797448</v>
      </c>
      <c r="G82" s="302">
        <v>0.40647905225647463</v>
      </c>
      <c r="H82" s="302">
        <f t="shared" si="41"/>
        <v>1.2970475976644491</v>
      </c>
      <c r="I82" s="303"/>
      <c r="J82" s="302">
        <v>0.84820056682413103</v>
      </c>
      <c r="K82" s="302">
        <v>0.5231874841655062</v>
      </c>
      <c r="L82" s="302">
        <f t="shared" si="42"/>
        <v>1.3713880509896372</v>
      </c>
      <c r="M82" s="236"/>
      <c r="N82" s="236"/>
    </row>
    <row r="83" spans="1:14" x14ac:dyDescent="0.3">
      <c r="A83" s="237" t="str">
        <f>name!E$10</f>
        <v>Sales and customer service occupations</v>
      </c>
      <c r="B83" s="302">
        <v>0.82069166858014264</v>
      </c>
      <c r="C83" s="302">
        <v>0.61704881111490428</v>
      </c>
      <c r="D83" s="302">
        <f t="shared" si="40"/>
        <v>1.437740479695047</v>
      </c>
      <c r="E83" s="303"/>
      <c r="F83" s="302">
        <v>1.0305041001698783</v>
      </c>
      <c r="G83" s="302">
        <v>0.90411148526618601</v>
      </c>
      <c r="H83" s="302">
        <f t="shared" si="41"/>
        <v>1.9346155854360643</v>
      </c>
      <c r="I83" s="303"/>
      <c r="J83" s="302">
        <v>1.0562316345380418</v>
      </c>
      <c r="K83" s="302">
        <v>0.99977224468563286</v>
      </c>
      <c r="L83" s="302">
        <f t="shared" si="42"/>
        <v>2.0560038792236748</v>
      </c>
      <c r="M83" s="236"/>
      <c r="N83" s="236"/>
    </row>
    <row r="84" spans="1:14" x14ac:dyDescent="0.3">
      <c r="A84" s="237" t="str">
        <f>name!E$11</f>
        <v>Process, plant and machine operatives</v>
      </c>
      <c r="B84" s="302">
        <v>0.52330348756053535</v>
      </c>
      <c r="C84" s="302">
        <v>4.7094182588165898</v>
      </c>
      <c r="D84" s="302">
        <f t="shared" si="40"/>
        <v>5.2327217463771252</v>
      </c>
      <c r="E84" s="303"/>
      <c r="F84" s="302">
        <v>0.51511728676980539</v>
      </c>
      <c r="G84" s="302">
        <v>4.9723474337797011</v>
      </c>
      <c r="H84" s="302">
        <f t="shared" si="41"/>
        <v>5.4874647205495064</v>
      </c>
      <c r="I84" s="303"/>
      <c r="J84" s="302">
        <v>0.6881734407460397</v>
      </c>
      <c r="K84" s="302">
        <v>4.7971596599627171</v>
      </c>
      <c r="L84" s="302">
        <f t="shared" si="42"/>
        <v>5.4853331007087567</v>
      </c>
      <c r="M84" s="236"/>
      <c r="N84" s="236"/>
    </row>
    <row r="85" spans="1:14" x14ac:dyDescent="0.3">
      <c r="A85" s="237" t="str">
        <f>name!E$12</f>
        <v>Elementary occupations</v>
      </c>
      <c r="B85" s="302">
        <v>1.1426661748884099</v>
      </c>
      <c r="C85" s="302">
        <v>1.693504312742913</v>
      </c>
      <c r="D85" s="302">
        <f t="shared" si="40"/>
        <v>2.836170487631323</v>
      </c>
      <c r="E85" s="303"/>
      <c r="F85" s="302">
        <v>0.99776629757310176</v>
      </c>
      <c r="G85" s="302">
        <v>1.8163371708524765</v>
      </c>
      <c r="H85" s="302">
        <f t="shared" si="41"/>
        <v>2.8141034684255781</v>
      </c>
      <c r="I85" s="303"/>
      <c r="J85" s="302">
        <v>0.72825556783085577</v>
      </c>
      <c r="K85" s="302">
        <v>1.1789060936313331</v>
      </c>
      <c r="L85" s="302">
        <f t="shared" si="42"/>
        <v>1.9071616614621889</v>
      </c>
      <c r="M85" s="236"/>
      <c r="N85" s="236"/>
    </row>
    <row r="86" spans="1:14" x14ac:dyDescent="0.3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3">
      <c r="A87" s="244" t="s">
        <v>32</v>
      </c>
      <c r="B87" s="311">
        <f>SUM(B77:B85)</f>
        <v>9.7519999999885076</v>
      </c>
      <c r="C87" s="311">
        <f t="shared" ref="C87:D87" si="43">SUM(C77:C85)</f>
        <v>17.092000000026946</v>
      </c>
      <c r="D87" s="311">
        <f t="shared" si="43"/>
        <v>26.844000000015455</v>
      </c>
      <c r="E87" s="311"/>
      <c r="F87" s="311">
        <f t="shared" ref="F87:H87" si="44">SUM(F77:F85)</f>
        <v>12.860999999988239</v>
      </c>
      <c r="G87" s="311">
        <f t="shared" si="44"/>
        <v>22.153999999910297</v>
      </c>
      <c r="H87" s="311">
        <f t="shared" si="44"/>
        <v>35.014999999898528</v>
      </c>
      <c r="I87" s="311"/>
      <c r="J87" s="311">
        <f t="shared" ref="J87:L87" si="45">SUM(J77:J85)</f>
        <v>12.807999999965974</v>
      </c>
      <c r="K87" s="311">
        <f t="shared" si="45"/>
        <v>21.23699999991382</v>
      </c>
      <c r="L87" s="311">
        <f t="shared" si="45"/>
        <v>34.044999999879792</v>
      </c>
      <c r="M87" s="236"/>
      <c r="N87" s="236"/>
    </row>
    <row r="88" spans="1:14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3">
      <c r="A91" s="241" t="str">
        <f>name!A8</f>
        <v>Textiles</v>
      </c>
      <c r="B91" s="373">
        <f>B$6</f>
        <v>2015</v>
      </c>
      <c r="C91" s="373"/>
      <c r="D91" s="373"/>
      <c r="E91" s="253"/>
      <c r="F91" s="373">
        <f>F74</f>
        <v>2020</v>
      </c>
      <c r="G91" s="373"/>
      <c r="H91" s="373"/>
      <c r="I91" s="253"/>
      <c r="J91" s="373">
        <f>J74</f>
        <v>2035</v>
      </c>
      <c r="K91" s="373"/>
      <c r="L91" s="373"/>
      <c r="M91" s="236"/>
      <c r="N91" s="236"/>
    </row>
    <row r="92" spans="1:14" x14ac:dyDescent="0.3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3">
      <c r="A94" s="237" t="str">
        <f>name!E$4</f>
        <v>Managers, directors and senior officials</v>
      </c>
      <c r="B94" s="302">
        <v>1.3744041214596607</v>
      </c>
      <c r="C94" s="302">
        <v>4.7754881535680358</v>
      </c>
      <c r="D94" s="302">
        <f>SUM(B94:C94)</f>
        <v>6.1498922750276961</v>
      </c>
      <c r="E94" s="303"/>
      <c r="F94" s="302">
        <v>2.4115993976501313</v>
      </c>
      <c r="G94" s="302">
        <v>6.1401119197959346</v>
      </c>
      <c r="H94" s="302">
        <f>SUM(F94:G94)</f>
        <v>8.5517113174460668</v>
      </c>
      <c r="I94" s="303"/>
      <c r="J94" s="302">
        <v>2.0711070011897204</v>
      </c>
      <c r="K94" s="302">
        <v>4.7150788647096586</v>
      </c>
      <c r="L94" s="302">
        <f>SUM(J94:K94)</f>
        <v>6.7861858658993786</v>
      </c>
      <c r="M94" s="236"/>
      <c r="N94" s="236"/>
    </row>
    <row r="95" spans="1:14" x14ac:dyDescent="0.3">
      <c r="A95" s="237" t="str">
        <f>name!E$5</f>
        <v>Professional occupations</v>
      </c>
      <c r="B95" s="302">
        <v>1.1851758586050427</v>
      </c>
      <c r="C95" s="302">
        <v>2.7959805443888044</v>
      </c>
      <c r="D95" s="302">
        <f t="shared" ref="D95:D102" si="46">SUM(B95:C95)</f>
        <v>3.9811564029938471</v>
      </c>
      <c r="E95" s="303"/>
      <c r="F95" s="302">
        <v>1.8921228814258562</v>
      </c>
      <c r="G95" s="302">
        <v>3.8892140720972179</v>
      </c>
      <c r="H95" s="302">
        <f t="shared" ref="H95:H102" si="47">SUM(F95:G95)</f>
        <v>5.7813369535230743</v>
      </c>
      <c r="I95" s="303"/>
      <c r="J95" s="302">
        <v>1.6115260644401981</v>
      </c>
      <c r="K95" s="302">
        <v>3.5641576196441527</v>
      </c>
      <c r="L95" s="302">
        <f t="shared" ref="L95:L102" si="48">SUM(J95:K95)</f>
        <v>5.1756836840843512</v>
      </c>
      <c r="M95" s="236"/>
      <c r="N95" s="236"/>
    </row>
    <row r="96" spans="1:14" x14ac:dyDescent="0.3">
      <c r="A96" s="237" t="str">
        <f>name!E$6</f>
        <v>Associate professional occupations</v>
      </c>
      <c r="B96" s="302">
        <v>1.9856460792927471</v>
      </c>
      <c r="C96" s="302">
        <v>2.4214659448823119</v>
      </c>
      <c r="D96" s="302">
        <f t="shared" si="46"/>
        <v>4.407112024175059</v>
      </c>
      <c r="E96" s="303"/>
      <c r="F96" s="302">
        <v>2.9483477091582371</v>
      </c>
      <c r="G96" s="302">
        <v>3.0018677505426359</v>
      </c>
      <c r="H96" s="302">
        <f t="shared" si="47"/>
        <v>5.950215459700873</v>
      </c>
      <c r="I96" s="303"/>
      <c r="J96" s="302">
        <v>2.3020509541315528</v>
      </c>
      <c r="K96" s="302">
        <v>2.2058614775415291</v>
      </c>
      <c r="L96" s="302">
        <f t="shared" si="48"/>
        <v>4.5079124316730823</v>
      </c>
      <c r="M96" s="236"/>
      <c r="N96" s="236"/>
    </row>
    <row r="97" spans="1:14" x14ac:dyDescent="0.3">
      <c r="A97" s="237" t="str">
        <f>name!E$7</f>
        <v>Administrative and secretarial occupations</v>
      </c>
      <c r="B97" s="302">
        <v>2.3426496787065054</v>
      </c>
      <c r="C97" s="302">
        <v>1.4953044233416299</v>
      </c>
      <c r="D97" s="302">
        <f t="shared" si="46"/>
        <v>3.8379541020481351</v>
      </c>
      <c r="E97" s="303"/>
      <c r="F97" s="302">
        <v>2.835794034249274</v>
      </c>
      <c r="G97" s="302">
        <v>1.9531231996590814</v>
      </c>
      <c r="H97" s="302">
        <f t="shared" si="47"/>
        <v>4.7889172339083554</v>
      </c>
      <c r="I97" s="303"/>
      <c r="J97" s="302">
        <v>1.7813719424540746</v>
      </c>
      <c r="K97" s="302">
        <v>1.5283836144469181</v>
      </c>
      <c r="L97" s="302">
        <f t="shared" si="48"/>
        <v>3.3097555569009929</v>
      </c>
      <c r="M97" s="236"/>
      <c r="N97" s="236"/>
    </row>
    <row r="98" spans="1:14" x14ac:dyDescent="0.3">
      <c r="A98" s="237" t="str">
        <f>name!E$8</f>
        <v>Skilled trades occupations</v>
      </c>
      <c r="B98" s="302">
        <v>2.41069484188063</v>
      </c>
      <c r="C98" s="302">
        <v>6.7884995445129936</v>
      </c>
      <c r="D98" s="302">
        <f t="shared" si="46"/>
        <v>9.1991943863936232</v>
      </c>
      <c r="E98" s="303"/>
      <c r="F98" s="302">
        <v>2.9794596778975158</v>
      </c>
      <c r="G98" s="302">
        <v>6.1189501667892348</v>
      </c>
      <c r="H98" s="302">
        <f t="shared" si="47"/>
        <v>9.098409844686751</v>
      </c>
      <c r="I98" s="303"/>
      <c r="J98" s="302">
        <v>1.6571277962449955</v>
      </c>
      <c r="K98" s="302">
        <v>3.9296073346215445</v>
      </c>
      <c r="L98" s="302">
        <f t="shared" si="48"/>
        <v>5.5867351308665398</v>
      </c>
      <c r="M98" s="236"/>
      <c r="N98" s="236"/>
    </row>
    <row r="99" spans="1:14" x14ac:dyDescent="0.3">
      <c r="A99" s="237" t="str">
        <f>name!E$9</f>
        <v>Caring, leisure and other service occupations</v>
      </c>
      <c r="B99" s="302">
        <v>0.82447906333421883</v>
      </c>
      <c r="C99" s="302">
        <v>0.11339712400912207</v>
      </c>
      <c r="D99" s="302">
        <f t="shared" si="46"/>
        <v>0.93787618734334088</v>
      </c>
      <c r="E99" s="303"/>
      <c r="F99" s="302">
        <v>1.3216917810448534</v>
      </c>
      <c r="G99" s="302">
        <v>0.19576320598084887</v>
      </c>
      <c r="H99" s="302">
        <f t="shared" si="47"/>
        <v>1.5174549870257024</v>
      </c>
      <c r="I99" s="303"/>
      <c r="J99" s="302">
        <v>0.96222423156703341</v>
      </c>
      <c r="K99" s="302">
        <v>0.19371507684763445</v>
      </c>
      <c r="L99" s="302">
        <f t="shared" si="48"/>
        <v>1.1559393084146679</v>
      </c>
      <c r="M99" s="236"/>
      <c r="N99" s="236"/>
    </row>
    <row r="100" spans="1:14" x14ac:dyDescent="0.3">
      <c r="A100" s="237" t="str">
        <f>name!E$10</f>
        <v>Sales and customer service occupations</v>
      </c>
      <c r="B100" s="302">
        <v>1.4741368573308504</v>
      </c>
      <c r="C100" s="302">
        <v>1.1100511295076687</v>
      </c>
      <c r="D100" s="302">
        <f t="shared" si="46"/>
        <v>2.5841879868385194</v>
      </c>
      <c r="E100" s="303"/>
      <c r="F100" s="302">
        <v>1.6047718463862843</v>
      </c>
      <c r="G100" s="302">
        <v>1.3807860158023031</v>
      </c>
      <c r="H100" s="302">
        <f t="shared" si="47"/>
        <v>2.9855578621885872</v>
      </c>
      <c r="I100" s="303"/>
      <c r="J100" s="302">
        <v>1.1383969189619842</v>
      </c>
      <c r="K100" s="302">
        <v>1.0737290150525995</v>
      </c>
      <c r="L100" s="302">
        <f t="shared" si="48"/>
        <v>2.2121259340145838</v>
      </c>
      <c r="M100" s="236"/>
      <c r="N100" s="236"/>
    </row>
    <row r="101" spans="1:14" x14ac:dyDescent="0.3">
      <c r="A101" s="237" t="str">
        <f>name!E$11</f>
        <v>Process, plant and machine operatives</v>
      </c>
      <c r="B101" s="302">
        <v>5.4046480940773911</v>
      </c>
      <c r="C101" s="302">
        <v>7.8484578418903119</v>
      </c>
      <c r="D101" s="302">
        <f t="shared" si="46"/>
        <v>13.253105935967703</v>
      </c>
      <c r="E101" s="303"/>
      <c r="F101" s="302">
        <v>5.8730395459774014</v>
      </c>
      <c r="G101" s="302">
        <v>7.1637576110877106</v>
      </c>
      <c r="H101" s="302">
        <f t="shared" si="47"/>
        <v>13.036797157065113</v>
      </c>
      <c r="I101" s="303"/>
      <c r="J101" s="302">
        <v>4.9839178524178571</v>
      </c>
      <c r="K101" s="302">
        <v>5.9322083718888701</v>
      </c>
      <c r="L101" s="302">
        <f t="shared" si="48"/>
        <v>10.916126224306726</v>
      </c>
      <c r="M101" s="236"/>
      <c r="N101" s="236"/>
    </row>
    <row r="102" spans="1:14" x14ac:dyDescent="0.3">
      <c r="A102" s="237" t="str">
        <f>name!E$12</f>
        <v>Elementary occupations</v>
      </c>
      <c r="B102" s="302">
        <v>1.9991654054763834</v>
      </c>
      <c r="C102" s="302">
        <v>3.108355293919006</v>
      </c>
      <c r="D102" s="302">
        <f t="shared" si="46"/>
        <v>5.1075206993953897</v>
      </c>
      <c r="E102" s="303"/>
      <c r="F102" s="302">
        <v>2.1311731261878015</v>
      </c>
      <c r="G102" s="302">
        <v>2.979426058269544</v>
      </c>
      <c r="H102" s="302">
        <f t="shared" si="47"/>
        <v>5.110599184457346</v>
      </c>
      <c r="I102" s="303"/>
      <c r="J102" s="302">
        <v>1.6062772386162374</v>
      </c>
      <c r="K102" s="302">
        <v>1.7272586252910855</v>
      </c>
      <c r="L102" s="302">
        <f t="shared" si="48"/>
        <v>3.3335358639073229</v>
      </c>
      <c r="M102" s="236"/>
      <c r="N102" s="236"/>
    </row>
    <row r="103" spans="1:14" x14ac:dyDescent="0.3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3">
      <c r="A104" s="244" t="s">
        <v>32</v>
      </c>
      <c r="B104" s="311">
        <f>SUM(B94:B102)</f>
        <v>19.00100000016343</v>
      </c>
      <c r="C104" s="311">
        <f t="shared" ref="C104:D104" si="49">SUM(C94:C102)</f>
        <v>30.457000000019882</v>
      </c>
      <c r="D104" s="311">
        <f t="shared" si="49"/>
        <v>49.458000000183311</v>
      </c>
      <c r="E104" s="311"/>
      <c r="F104" s="311">
        <f t="shared" ref="F104:H104" si="50">SUM(F94:F102)</f>
        <v>23.997999999977356</v>
      </c>
      <c r="G104" s="311">
        <f t="shared" si="50"/>
        <v>32.823000000024514</v>
      </c>
      <c r="H104" s="311">
        <f t="shared" si="50"/>
        <v>56.82100000000186</v>
      </c>
      <c r="I104" s="311"/>
      <c r="J104" s="311">
        <f t="shared" ref="J104:L104" si="51">SUM(J94:J102)</f>
        <v>18.114000000023651</v>
      </c>
      <c r="K104" s="311">
        <f t="shared" si="51"/>
        <v>24.870000000043991</v>
      </c>
      <c r="L104" s="311">
        <f t="shared" si="51"/>
        <v>42.984000000067645</v>
      </c>
      <c r="M104" s="236"/>
      <c r="N104" s="236"/>
    </row>
    <row r="105" spans="1:14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3">
      <c r="A108" s="241" t="str">
        <f>name!A9</f>
        <v>Wearing apparel; Leather, etc</v>
      </c>
      <c r="B108" s="373">
        <f>B$6</f>
        <v>2015</v>
      </c>
      <c r="C108" s="373"/>
      <c r="D108" s="373"/>
      <c r="E108" s="253"/>
      <c r="F108" s="373">
        <f>F91</f>
        <v>2020</v>
      </c>
      <c r="G108" s="373"/>
      <c r="H108" s="373"/>
      <c r="I108" s="253"/>
      <c r="J108" s="373">
        <f>J91</f>
        <v>2035</v>
      </c>
      <c r="K108" s="373"/>
      <c r="L108" s="373"/>
      <c r="M108" s="236"/>
      <c r="N108" s="236"/>
    </row>
    <row r="109" spans="1:14" x14ac:dyDescent="0.3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3">
      <c r="A111" s="237" t="str">
        <f>name!E$4</f>
        <v>Managers, directors and senior officials</v>
      </c>
      <c r="B111" s="302">
        <v>2.640212003715682</v>
      </c>
      <c r="C111" s="302">
        <v>2.1776167900657986</v>
      </c>
      <c r="D111" s="302">
        <f>SUM(B111:C111)</f>
        <v>4.8178287937814801</v>
      </c>
      <c r="E111" s="303"/>
      <c r="F111" s="302">
        <v>2.9293900976898777</v>
      </c>
      <c r="G111" s="302">
        <v>2.9471537185563954</v>
      </c>
      <c r="H111" s="302">
        <f>SUM(F111:G111)</f>
        <v>5.8765438162462731</v>
      </c>
      <c r="I111" s="303"/>
      <c r="J111" s="302">
        <v>2.1247742262284683</v>
      </c>
      <c r="K111" s="302">
        <v>2.3860940330449214</v>
      </c>
      <c r="L111" s="302">
        <f>SUM(J111:K111)</f>
        <v>4.5108682592733897</v>
      </c>
      <c r="M111" s="236"/>
      <c r="N111" s="236"/>
    </row>
    <row r="112" spans="1:14" x14ac:dyDescent="0.3">
      <c r="A112" s="237" t="str">
        <f>name!E$5</f>
        <v>Professional occupations</v>
      </c>
      <c r="B112" s="302">
        <v>2.9779998861887726</v>
      </c>
      <c r="C112" s="302">
        <v>1.5879596615698124</v>
      </c>
      <c r="D112" s="302">
        <f t="shared" ref="D112:D119" si="52">SUM(B112:C112)</f>
        <v>4.5659595477585846</v>
      </c>
      <c r="E112" s="303"/>
      <c r="F112" s="302">
        <v>4.4698886039178145</v>
      </c>
      <c r="G112" s="302">
        <v>2.21222468093272</v>
      </c>
      <c r="H112" s="302">
        <f t="shared" ref="H112:H119" si="53">SUM(F112:G112)</f>
        <v>6.6821132848505345</v>
      </c>
      <c r="I112" s="303"/>
      <c r="J112" s="302">
        <v>4.0687661464851255</v>
      </c>
      <c r="K112" s="302">
        <v>2.010814872686248</v>
      </c>
      <c r="L112" s="302">
        <f t="shared" ref="L112:L119" si="54">SUM(J112:K112)</f>
        <v>6.0795810191713731</v>
      </c>
      <c r="M112" s="236"/>
      <c r="N112" s="236"/>
    </row>
    <row r="113" spans="1:14" x14ac:dyDescent="0.3">
      <c r="A113" s="237" t="str">
        <f>name!E$6</f>
        <v>Associate professional occupations</v>
      </c>
      <c r="B113" s="302">
        <v>4.1608306422467969</v>
      </c>
      <c r="C113" s="302">
        <v>1.408271023198431</v>
      </c>
      <c r="D113" s="302">
        <f t="shared" si="52"/>
        <v>5.5691016654452277</v>
      </c>
      <c r="E113" s="303"/>
      <c r="F113" s="302">
        <v>4.4098511303342462</v>
      </c>
      <c r="G113" s="302">
        <v>1.7964736527670644</v>
      </c>
      <c r="H113" s="302">
        <f t="shared" si="53"/>
        <v>6.2063247831013104</v>
      </c>
      <c r="I113" s="303"/>
      <c r="J113" s="302">
        <v>3.1150237008687691</v>
      </c>
      <c r="K113" s="302">
        <v>1.2888631407652853</v>
      </c>
      <c r="L113" s="302">
        <f t="shared" si="54"/>
        <v>4.4038868416340549</v>
      </c>
      <c r="M113" s="236"/>
      <c r="N113" s="236"/>
    </row>
    <row r="114" spans="1:14" x14ac:dyDescent="0.3">
      <c r="A114" s="237" t="str">
        <f>name!E$7</f>
        <v>Administrative and secretarial occupations</v>
      </c>
      <c r="B114" s="302">
        <v>5.1788596968477023</v>
      </c>
      <c r="C114" s="302">
        <v>0.70455656175030268</v>
      </c>
      <c r="D114" s="302">
        <f t="shared" si="52"/>
        <v>5.8834162585980048</v>
      </c>
      <c r="E114" s="303"/>
      <c r="F114" s="302">
        <v>4.5620902849053397</v>
      </c>
      <c r="G114" s="302">
        <v>0.79628472227229863</v>
      </c>
      <c r="H114" s="302">
        <f t="shared" si="53"/>
        <v>5.3583750071776386</v>
      </c>
      <c r="I114" s="303"/>
      <c r="J114" s="302">
        <v>3.1911816113874947</v>
      </c>
      <c r="K114" s="302">
        <v>0.64769632118243836</v>
      </c>
      <c r="L114" s="302">
        <f t="shared" si="54"/>
        <v>3.8388779325699329</v>
      </c>
      <c r="M114" s="236"/>
      <c r="N114" s="236"/>
    </row>
    <row r="115" spans="1:14" x14ac:dyDescent="0.3">
      <c r="A115" s="237" t="str">
        <f>name!E$8</f>
        <v>Skilled trades occupations</v>
      </c>
      <c r="B115" s="302">
        <v>3.3085183624814793</v>
      </c>
      <c r="C115" s="302">
        <v>3.6964644466566443</v>
      </c>
      <c r="D115" s="302">
        <f t="shared" si="52"/>
        <v>7.0049828091381237</v>
      </c>
      <c r="E115" s="303"/>
      <c r="F115" s="302">
        <v>3.2315608235768676</v>
      </c>
      <c r="G115" s="302">
        <v>3.7240163055184916</v>
      </c>
      <c r="H115" s="302">
        <f t="shared" si="53"/>
        <v>6.9555771290953592</v>
      </c>
      <c r="I115" s="303"/>
      <c r="J115" s="302">
        <v>2.2283396888300495</v>
      </c>
      <c r="K115" s="302">
        <v>2.6338301524793137</v>
      </c>
      <c r="L115" s="302">
        <f t="shared" si="54"/>
        <v>4.8621698413093632</v>
      </c>
      <c r="M115" s="236"/>
      <c r="N115" s="236"/>
    </row>
    <row r="116" spans="1:14" x14ac:dyDescent="0.3">
      <c r="A116" s="237" t="str">
        <f>name!E$9</f>
        <v>Caring, leisure and other service occupations</v>
      </c>
      <c r="B116" s="302">
        <v>1.3003945412028792</v>
      </c>
      <c r="C116" s="302">
        <v>0.28462455338881176</v>
      </c>
      <c r="D116" s="302">
        <f t="shared" si="52"/>
        <v>1.5850190945916909</v>
      </c>
      <c r="E116" s="303"/>
      <c r="F116" s="302">
        <v>1.8981887373604702</v>
      </c>
      <c r="G116" s="302">
        <v>0.29954408102799601</v>
      </c>
      <c r="H116" s="302">
        <f t="shared" si="53"/>
        <v>2.1977328183884661</v>
      </c>
      <c r="I116" s="303"/>
      <c r="J116" s="302">
        <v>1.7973335694305628</v>
      </c>
      <c r="K116" s="302">
        <v>0.30606261223534459</v>
      </c>
      <c r="L116" s="302">
        <f t="shared" si="54"/>
        <v>2.1033961816659072</v>
      </c>
      <c r="M116" s="236"/>
      <c r="N116" s="236"/>
    </row>
    <row r="117" spans="1:14" x14ac:dyDescent="0.3">
      <c r="A117" s="237" t="str">
        <f>name!E$10</f>
        <v>Sales and customer service occupations</v>
      </c>
      <c r="B117" s="302">
        <v>1.8691228268354412</v>
      </c>
      <c r="C117" s="302">
        <v>0.56863289388411709</v>
      </c>
      <c r="D117" s="302">
        <f t="shared" si="52"/>
        <v>2.4377557207195584</v>
      </c>
      <c r="E117" s="303"/>
      <c r="F117" s="302">
        <v>1.5693389675494931</v>
      </c>
      <c r="G117" s="302">
        <v>0.5208639127241026</v>
      </c>
      <c r="H117" s="302">
        <f t="shared" si="53"/>
        <v>2.0902028802735959</v>
      </c>
      <c r="I117" s="303"/>
      <c r="J117" s="302">
        <v>1.2058955860509692</v>
      </c>
      <c r="K117" s="302">
        <v>0.42794391047782337</v>
      </c>
      <c r="L117" s="302">
        <f t="shared" si="54"/>
        <v>1.6338394965287926</v>
      </c>
      <c r="M117" s="236"/>
      <c r="N117" s="236"/>
    </row>
    <row r="118" spans="1:14" x14ac:dyDescent="0.3">
      <c r="A118" s="237" t="str">
        <f>name!E$11</f>
        <v>Process, plant and machine operatives</v>
      </c>
      <c r="B118" s="302">
        <v>6.1353419489067855</v>
      </c>
      <c r="C118" s="302">
        <v>3.6301604522507813</v>
      </c>
      <c r="D118" s="302">
        <f t="shared" si="52"/>
        <v>9.7655024011575673</v>
      </c>
      <c r="E118" s="303"/>
      <c r="F118" s="302">
        <v>3.8782636415646441</v>
      </c>
      <c r="G118" s="302">
        <v>4.0091804697558704</v>
      </c>
      <c r="H118" s="302">
        <f t="shared" si="53"/>
        <v>7.887444111320514</v>
      </c>
      <c r="I118" s="303"/>
      <c r="J118" s="302">
        <v>2.8402369502491305</v>
      </c>
      <c r="K118" s="302">
        <v>3.5601503880123708</v>
      </c>
      <c r="L118" s="302">
        <f t="shared" si="54"/>
        <v>6.4003873382615009</v>
      </c>
      <c r="M118" s="236"/>
      <c r="N118" s="236"/>
    </row>
    <row r="119" spans="1:14" x14ac:dyDescent="0.3">
      <c r="A119" s="237" t="str">
        <f>name!E$12</f>
        <v>Elementary occupations</v>
      </c>
      <c r="B119" s="302">
        <v>2.6187200917887066</v>
      </c>
      <c r="C119" s="302">
        <v>4.1727136173915751</v>
      </c>
      <c r="D119" s="302">
        <f t="shared" si="52"/>
        <v>6.7914337091802821</v>
      </c>
      <c r="E119" s="303"/>
      <c r="F119" s="302">
        <v>2.4994277130646441</v>
      </c>
      <c r="G119" s="302">
        <v>3.5252584564913731</v>
      </c>
      <c r="H119" s="302">
        <f t="shared" si="53"/>
        <v>6.0246861695560172</v>
      </c>
      <c r="I119" s="303"/>
      <c r="J119" s="302">
        <v>1.7644485205281693</v>
      </c>
      <c r="K119" s="302">
        <v>2.0325445691428974</v>
      </c>
      <c r="L119" s="302">
        <f t="shared" si="54"/>
        <v>3.7969930896710666</v>
      </c>
      <c r="M119" s="236"/>
      <c r="N119" s="236"/>
    </row>
    <row r="120" spans="1:14" x14ac:dyDescent="0.3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3">
      <c r="A121" s="244" t="s">
        <v>32</v>
      </c>
      <c r="B121" s="311">
        <f>SUM(B111:B119)</f>
        <v>30.190000000214244</v>
      </c>
      <c r="C121" s="311">
        <f t="shared" ref="C121:D121" si="55">SUM(C111:C119)</f>
        <v>18.231000000156275</v>
      </c>
      <c r="D121" s="311">
        <f t="shared" si="55"/>
        <v>48.421000000370519</v>
      </c>
      <c r="E121" s="311"/>
      <c r="F121" s="311">
        <f t="shared" ref="F121:H121" si="56">SUM(F111:F119)</f>
        <v>29.447999999963397</v>
      </c>
      <c r="G121" s="311">
        <f t="shared" si="56"/>
        <v>19.831000000046309</v>
      </c>
      <c r="H121" s="311">
        <f t="shared" si="56"/>
        <v>49.279000000009709</v>
      </c>
      <c r="I121" s="311"/>
      <c r="J121" s="311">
        <f t="shared" ref="J121:L121" si="57">SUM(J111:J119)</f>
        <v>22.336000000058739</v>
      </c>
      <c r="K121" s="311">
        <f t="shared" si="57"/>
        <v>15.294000000026644</v>
      </c>
      <c r="L121" s="311">
        <f t="shared" si="57"/>
        <v>37.630000000085381</v>
      </c>
      <c r="M121" s="236"/>
      <c r="N121" s="236"/>
    </row>
    <row r="122" spans="1:14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3">
      <c r="A125" s="241" t="str">
        <f>name!A10</f>
        <v xml:space="preserve">Wood and cork </v>
      </c>
      <c r="B125" s="373">
        <f>B$6</f>
        <v>2015</v>
      </c>
      <c r="C125" s="373"/>
      <c r="D125" s="373"/>
      <c r="E125" s="253"/>
      <c r="F125" s="373">
        <f>F108</f>
        <v>2020</v>
      </c>
      <c r="G125" s="373"/>
      <c r="H125" s="373"/>
      <c r="I125" s="253"/>
      <c r="J125" s="373">
        <f>J108</f>
        <v>2035</v>
      </c>
      <c r="K125" s="373"/>
      <c r="L125" s="373"/>
      <c r="M125" s="236"/>
      <c r="N125" s="236"/>
    </row>
    <row r="126" spans="1:14" x14ac:dyDescent="0.3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3">
      <c r="A128" s="237" t="str">
        <f>name!E$4</f>
        <v>Managers, directors and senior officials</v>
      </c>
      <c r="B128" s="302">
        <v>1.5857388466070654</v>
      </c>
      <c r="C128" s="302">
        <v>3.8345502840371655</v>
      </c>
      <c r="D128" s="302">
        <f>SUM(B128:C128)</f>
        <v>5.4202891306442309</v>
      </c>
      <c r="E128" s="303"/>
      <c r="F128" s="302">
        <v>2.4054046490068446</v>
      </c>
      <c r="G128" s="302">
        <v>6.4924984683991402</v>
      </c>
      <c r="H128" s="302">
        <f>SUM(F128:G128)</f>
        <v>8.8979031174059848</v>
      </c>
      <c r="I128" s="303"/>
      <c r="J128" s="302">
        <v>2.6947786332697086</v>
      </c>
      <c r="K128" s="302">
        <v>6.3400878959970379</v>
      </c>
      <c r="L128" s="302">
        <f>SUM(J128:K128)</f>
        <v>9.0348665292667469</v>
      </c>
      <c r="M128" s="236"/>
      <c r="N128" s="236"/>
    </row>
    <row r="129" spans="1:14" x14ac:dyDescent="0.3">
      <c r="A129" s="237" t="str">
        <f>name!E$5</f>
        <v>Professional occupations</v>
      </c>
      <c r="B129" s="302">
        <v>1.5003359250348651</v>
      </c>
      <c r="C129" s="302">
        <v>2.1564452531943887</v>
      </c>
      <c r="D129" s="302">
        <f t="shared" ref="D129:D136" si="58">SUM(B129:C129)</f>
        <v>3.6567811782292541</v>
      </c>
      <c r="E129" s="303"/>
      <c r="F129" s="302">
        <v>2.4657229324053067</v>
      </c>
      <c r="G129" s="302">
        <v>3.8201351306839686</v>
      </c>
      <c r="H129" s="302">
        <f t="shared" ref="H129:H136" si="59">SUM(F129:G129)</f>
        <v>6.2858580630892753</v>
      </c>
      <c r="I129" s="303"/>
      <c r="J129" s="302">
        <v>2.9491878854620741</v>
      </c>
      <c r="K129" s="302">
        <v>4.3752915980436766</v>
      </c>
      <c r="L129" s="302">
        <f t="shared" ref="L129:L136" si="60">SUM(J129:K129)</f>
        <v>7.3244794835057512</v>
      </c>
      <c r="M129" s="236"/>
      <c r="N129" s="236"/>
    </row>
    <row r="130" spans="1:14" x14ac:dyDescent="0.3">
      <c r="A130" s="237" t="str">
        <f>name!E$6</f>
        <v>Associate professional occupations</v>
      </c>
      <c r="B130" s="302">
        <v>1.3982274769703349</v>
      </c>
      <c r="C130" s="302">
        <v>3.5454642965074172</v>
      </c>
      <c r="D130" s="302">
        <f t="shared" si="58"/>
        <v>4.9436917734777523</v>
      </c>
      <c r="E130" s="303"/>
      <c r="F130" s="302">
        <v>1.8897735723870965</v>
      </c>
      <c r="G130" s="302">
        <v>5.773545928123716</v>
      </c>
      <c r="H130" s="302">
        <f t="shared" si="59"/>
        <v>7.6633195005108128</v>
      </c>
      <c r="I130" s="303"/>
      <c r="J130" s="302">
        <v>1.940417569439292</v>
      </c>
      <c r="K130" s="302">
        <v>5.3260227814877865</v>
      </c>
      <c r="L130" s="302">
        <f t="shared" si="60"/>
        <v>7.2664403509270787</v>
      </c>
      <c r="M130" s="236"/>
      <c r="N130" s="236"/>
    </row>
    <row r="131" spans="1:14" x14ac:dyDescent="0.3">
      <c r="A131" s="237" t="str">
        <f>name!E$7</f>
        <v>Administrative and secretarial occupations</v>
      </c>
      <c r="B131" s="302">
        <v>4.3579013752687725</v>
      </c>
      <c r="C131" s="302">
        <v>0.96411576847702163</v>
      </c>
      <c r="D131" s="302">
        <f t="shared" si="58"/>
        <v>5.3220171437457946</v>
      </c>
      <c r="E131" s="303"/>
      <c r="F131" s="302">
        <v>3.5138709571073048</v>
      </c>
      <c r="G131" s="302">
        <v>1.3764424677895211</v>
      </c>
      <c r="H131" s="302">
        <f t="shared" si="59"/>
        <v>4.8903134248968261</v>
      </c>
      <c r="I131" s="303"/>
      <c r="J131" s="302">
        <v>2.7003432474988949</v>
      </c>
      <c r="K131" s="302">
        <v>1.2604728627836039</v>
      </c>
      <c r="L131" s="302">
        <f t="shared" si="60"/>
        <v>3.960816110282499</v>
      </c>
      <c r="M131" s="236"/>
      <c r="N131" s="236"/>
    </row>
    <row r="132" spans="1:14" x14ac:dyDescent="0.3">
      <c r="A132" s="237" t="str">
        <f>name!E$8</f>
        <v>Skilled trades occupations</v>
      </c>
      <c r="B132" s="302">
        <v>0.72593117329835022</v>
      </c>
      <c r="C132" s="302">
        <v>22.51533251639027</v>
      </c>
      <c r="D132" s="302">
        <f t="shared" si="58"/>
        <v>23.241263689688619</v>
      </c>
      <c r="E132" s="303"/>
      <c r="F132" s="302">
        <v>0.67760972570861266</v>
      </c>
      <c r="G132" s="302">
        <v>22.901416228696544</v>
      </c>
      <c r="H132" s="302">
        <f t="shared" si="59"/>
        <v>23.579025954405157</v>
      </c>
      <c r="I132" s="303"/>
      <c r="J132" s="302">
        <v>0.90314709715287145</v>
      </c>
      <c r="K132" s="302">
        <v>19.807885770276922</v>
      </c>
      <c r="L132" s="302">
        <f t="shared" si="60"/>
        <v>20.711032867429793</v>
      </c>
      <c r="M132" s="236"/>
      <c r="N132" s="236"/>
    </row>
    <row r="133" spans="1:14" x14ac:dyDescent="0.3">
      <c r="A133" s="237" t="str">
        <f>name!E$9</f>
        <v>Caring, leisure and other service occupations</v>
      </c>
      <c r="B133" s="302">
        <v>0.69724851395199094</v>
      </c>
      <c r="C133" s="302">
        <v>0.36266247366110727</v>
      </c>
      <c r="D133" s="302">
        <f t="shared" si="58"/>
        <v>1.0599109876130983</v>
      </c>
      <c r="E133" s="303"/>
      <c r="F133" s="302">
        <v>0.81784434847327248</v>
      </c>
      <c r="G133" s="302">
        <v>0.66293165192448267</v>
      </c>
      <c r="H133" s="302">
        <f t="shared" si="59"/>
        <v>1.4807760003977553</v>
      </c>
      <c r="I133" s="303"/>
      <c r="J133" s="302">
        <v>0.88619682678212142</v>
      </c>
      <c r="K133" s="302">
        <v>0.97753056417763773</v>
      </c>
      <c r="L133" s="302">
        <f t="shared" si="60"/>
        <v>1.8637273909597591</v>
      </c>
      <c r="M133" s="236"/>
      <c r="N133" s="236"/>
    </row>
    <row r="134" spans="1:14" x14ac:dyDescent="0.3">
      <c r="A134" s="237" t="str">
        <f>name!E$10</f>
        <v>Sales and customer service occupations</v>
      </c>
      <c r="B134" s="302">
        <v>1.0473102700183632</v>
      </c>
      <c r="C134" s="302">
        <v>0.89529084629761291</v>
      </c>
      <c r="D134" s="302">
        <f>SUM(B134:C134)</f>
        <v>1.9426011163159762</v>
      </c>
      <c r="E134" s="303"/>
      <c r="F134" s="302">
        <v>0.87395562675346183</v>
      </c>
      <c r="G134" s="302">
        <v>1.0973324563862308</v>
      </c>
      <c r="H134" s="302">
        <f t="shared" si="59"/>
        <v>1.9712880831396926</v>
      </c>
      <c r="I134" s="303"/>
      <c r="J134" s="302">
        <v>0.82379890065613837</v>
      </c>
      <c r="K134" s="302">
        <v>1.1081420097457986</v>
      </c>
      <c r="L134" s="302">
        <f t="shared" si="60"/>
        <v>1.9319409104019369</v>
      </c>
      <c r="M134" s="236"/>
      <c r="N134" s="236"/>
    </row>
    <row r="135" spans="1:14" x14ac:dyDescent="0.3">
      <c r="A135" s="237" t="str">
        <f>name!E$11</f>
        <v>Process, plant and machine operatives</v>
      </c>
      <c r="B135" s="302">
        <v>0.88976619212569052</v>
      </c>
      <c r="C135" s="302">
        <v>14.235543367622132</v>
      </c>
      <c r="D135" s="302">
        <f t="shared" si="58"/>
        <v>15.125309559747823</v>
      </c>
      <c r="E135" s="303"/>
      <c r="F135" s="302">
        <v>0.60496204432822209</v>
      </c>
      <c r="G135" s="302">
        <v>15.116701593768449</v>
      </c>
      <c r="H135" s="302">
        <f t="shared" si="59"/>
        <v>15.72166363809667</v>
      </c>
      <c r="I135" s="303"/>
      <c r="J135" s="302">
        <v>0.70614089400150293</v>
      </c>
      <c r="K135" s="302">
        <v>15.929786760578928</v>
      </c>
      <c r="L135" s="302">
        <f t="shared" si="60"/>
        <v>16.635927654580431</v>
      </c>
      <c r="M135" s="236"/>
      <c r="N135" s="236"/>
    </row>
    <row r="136" spans="1:14" x14ac:dyDescent="0.3">
      <c r="A136" s="237" t="str">
        <f>name!E$12</f>
        <v>Elementary occupations</v>
      </c>
      <c r="B136" s="302">
        <v>1.0075402267429101</v>
      </c>
      <c r="C136" s="302">
        <v>4.6385951936769123</v>
      </c>
      <c r="D136" s="302">
        <f t="shared" si="58"/>
        <v>5.6461354204198226</v>
      </c>
      <c r="E136" s="303"/>
      <c r="F136" s="302">
        <v>0.70685614377641648</v>
      </c>
      <c r="G136" s="302">
        <v>5.5149960741734638</v>
      </c>
      <c r="H136" s="302">
        <f t="shared" si="59"/>
        <v>6.2218522179498805</v>
      </c>
      <c r="I136" s="303"/>
      <c r="J136" s="302">
        <v>0.50898894576668718</v>
      </c>
      <c r="K136" s="302">
        <v>4.2637797567667244</v>
      </c>
      <c r="L136" s="302">
        <f t="shared" si="60"/>
        <v>4.772768702533412</v>
      </c>
      <c r="M136" s="236"/>
      <c r="N136" s="236"/>
    </row>
    <row r="137" spans="1:14" x14ac:dyDescent="0.3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3">
      <c r="A138" s="244" t="s">
        <v>32</v>
      </c>
      <c r="B138" s="311">
        <f>SUM(B128:B136)</f>
        <v>13.210000000018342</v>
      </c>
      <c r="C138" s="311">
        <f t="shared" ref="C138" si="61">SUM(C128:C136)</f>
        <v>53.147999999864034</v>
      </c>
      <c r="D138" s="311">
        <f>SUM(D128:D136)</f>
        <v>66.357999999882367</v>
      </c>
      <c r="E138" s="311"/>
      <c r="F138" s="311">
        <f t="shared" ref="F138:H138" si="62">SUM(F128:F136)</f>
        <v>13.95599999994654</v>
      </c>
      <c r="G138" s="311">
        <f t="shared" si="62"/>
        <v>62.755999999945516</v>
      </c>
      <c r="H138" s="311">
        <f t="shared" si="62"/>
        <v>76.711999999892043</v>
      </c>
      <c r="I138" s="311"/>
      <c r="J138" s="311">
        <f t="shared" ref="J138:L138" si="63">SUM(J128:J136)</f>
        <v>14.113000000029292</v>
      </c>
      <c r="K138" s="311">
        <f t="shared" si="63"/>
        <v>59.388999999858115</v>
      </c>
      <c r="L138" s="311">
        <f t="shared" si="63"/>
        <v>73.501999999887403</v>
      </c>
      <c r="M138" s="236"/>
      <c r="N138" s="236"/>
    </row>
    <row r="139" spans="1:14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3">
      <c r="A142" s="241" t="str">
        <f>name!A11</f>
        <v>Paper, etc</v>
      </c>
      <c r="B142" s="373">
        <f>B$6</f>
        <v>2015</v>
      </c>
      <c r="C142" s="373"/>
      <c r="D142" s="373"/>
      <c r="E142" s="253"/>
      <c r="F142" s="373">
        <f>F125</f>
        <v>2020</v>
      </c>
      <c r="G142" s="373"/>
      <c r="H142" s="373"/>
      <c r="I142" s="253"/>
      <c r="J142" s="373">
        <f>J125</f>
        <v>2035</v>
      </c>
      <c r="K142" s="373"/>
      <c r="L142" s="373"/>
      <c r="M142" s="236"/>
      <c r="N142" s="236"/>
    </row>
    <row r="143" spans="1:14" x14ac:dyDescent="0.3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3">
      <c r="A145" s="237" t="str">
        <f>name!E$4</f>
        <v>Managers, directors and senior officials</v>
      </c>
      <c r="B145" s="302">
        <v>0.58068323235795449</v>
      </c>
      <c r="C145" s="302">
        <v>6.9008528768221735</v>
      </c>
      <c r="D145" s="302">
        <f>SUM(B145:C145)</f>
        <v>7.4815361091801282</v>
      </c>
      <c r="E145" s="303"/>
      <c r="F145" s="302">
        <v>0.60813417268813108</v>
      </c>
      <c r="G145" s="302">
        <v>5.2894385823459382</v>
      </c>
      <c r="H145" s="302">
        <f>SUM(F145:G145)</f>
        <v>5.8975727550340693</v>
      </c>
      <c r="I145" s="303"/>
      <c r="J145" s="302">
        <v>0.67184586229874355</v>
      </c>
      <c r="K145" s="302">
        <v>5.7499008704583208</v>
      </c>
      <c r="L145" s="302">
        <f>SUM(J145:K145)</f>
        <v>6.4217467327570645</v>
      </c>
      <c r="M145" s="236"/>
      <c r="N145" s="236"/>
    </row>
    <row r="146" spans="1:14" x14ac:dyDescent="0.3">
      <c r="A146" s="237" t="str">
        <f>name!E$5</f>
        <v>Professional occupations</v>
      </c>
      <c r="B146" s="302">
        <v>0.69338734737426733</v>
      </c>
      <c r="C146" s="302">
        <v>4.5345665726316646</v>
      </c>
      <c r="D146" s="302">
        <f t="shared" ref="D146:D153" si="64">SUM(B146:C146)</f>
        <v>5.2279539200059322</v>
      </c>
      <c r="E146" s="303"/>
      <c r="F146" s="302">
        <v>0.75535987024653406</v>
      </c>
      <c r="G146" s="302">
        <v>4.5255140123586273</v>
      </c>
      <c r="H146" s="302">
        <f t="shared" ref="H146:H153" si="65">SUM(F146:G146)</f>
        <v>5.2808738826051611</v>
      </c>
      <c r="I146" s="303"/>
      <c r="J146" s="302">
        <v>0.90846384891013043</v>
      </c>
      <c r="K146" s="302">
        <v>5.4806336265329127</v>
      </c>
      <c r="L146" s="302">
        <f t="shared" ref="L146:L153" si="66">SUM(J146:K146)</f>
        <v>6.3890974754430427</v>
      </c>
      <c r="M146" s="236"/>
      <c r="N146" s="236"/>
    </row>
    <row r="147" spans="1:14" x14ac:dyDescent="0.3">
      <c r="A147" s="237" t="str">
        <f>name!E$6</f>
        <v>Associate professional occupations</v>
      </c>
      <c r="B147" s="302">
        <v>1.2187500418284258</v>
      </c>
      <c r="C147" s="302">
        <v>4.8049977717721921</v>
      </c>
      <c r="D147" s="302">
        <f t="shared" si="64"/>
        <v>6.0237478136006182</v>
      </c>
      <c r="E147" s="303"/>
      <c r="F147" s="302">
        <v>1.1177971389912533</v>
      </c>
      <c r="G147" s="302">
        <v>4.4977881361924608</v>
      </c>
      <c r="H147" s="302">
        <f t="shared" si="65"/>
        <v>5.6155852751837143</v>
      </c>
      <c r="I147" s="303"/>
      <c r="J147" s="302">
        <v>1.2145799062085056</v>
      </c>
      <c r="K147" s="302">
        <v>4.4935060833703844</v>
      </c>
      <c r="L147" s="302">
        <f t="shared" si="66"/>
        <v>5.7080859895788905</v>
      </c>
      <c r="M147" s="236"/>
      <c r="N147" s="236"/>
    </row>
    <row r="148" spans="1:14" x14ac:dyDescent="0.3">
      <c r="A148" s="237" t="str">
        <f>name!E$7</f>
        <v>Administrative and secretarial occupations</v>
      </c>
      <c r="B148" s="302">
        <v>1.8509264007009165</v>
      </c>
      <c r="C148" s="302">
        <v>1.5314006848105597</v>
      </c>
      <c r="D148" s="302">
        <f t="shared" si="64"/>
        <v>3.3823270855114762</v>
      </c>
      <c r="E148" s="303"/>
      <c r="F148" s="302">
        <v>1.1164956164133084</v>
      </c>
      <c r="G148" s="302">
        <v>1.4922219577301044</v>
      </c>
      <c r="H148" s="302">
        <f t="shared" si="65"/>
        <v>2.6087175741434128</v>
      </c>
      <c r="I148" s="303"/>
      <c r="J148" s="302">
        <v>0.82080032876360631</v>
      </c>
      <c r="K148" s="302">
        <v>1.4600413393951233</v>
      </c>
      <c r="L148" s="302">
        <f t="shared" si="66"/>
        <v>2.2808416681587298</v>
      </c>
      <c r="M148" s="236"/>
      <c r="N148" s="236"/>
    </row>
    <row r="149" spans="1:14" x14ac:dyDescent="0.3">
      <c r="A149" s="237" t="str">
        <f>name!E$8</f>
        <v>Skilled trades occupations</v>
      </c>
      <c r="B149" s="302">
        <v>0.22303902066627665</v>
      </c>
      <c r="C149" s="302">
        <v>10.282336795599623</v>
      </c>
      <c r="D149" s="302">
        <f t="shared" si="64"/>
        <v>10.505375816265898</v>
      </c>
      <c r="E149" s="303"/>
      <c r="F149" s="302">
        <v>0.17409314627205355</v>
      </c>
      <c r="G149" s="302">
        <v>6.1555187997702436</v>
      </c>
      <c r="H149" s="302">
        <f t="shared" si="65"/>
        <v>6.3296119460422968</v>
      </c>
      <c r="I149" s="303"/>
      <c r="J149" s="302">
        <v>0.16226999955017216</v>
      </c>
      <c r="K149" s="302">
        <v>4.9532092233648406</v>
      </c>
      <c r="L149" s="302">
        <f t="shared" si="66"/>
        <v>5.1154792229150123</v>
      </c>
      <c r="M149" s="236"/>
      <c r="N149" s="236"/>
    </row>
    <row r="150" spans="1:14" x14ac:dyDescent="0.3">
      <c r="A150" s="237" t="str">
        <f>name!E$9</f>
        <v>Caring, leisure and other service occupations</v>
      </c>
      <c r="B150" s="302">
        <v>0.44577230344923979</v>
      </c>
      <c r="C150" s="302">
        <v>0.26272924346407306</v>
      </c>
      <c r="D150" s="302">
        <f t="shared" si="64"/>
        <v>0.70850154691331291</v>
      </c>
      <c r="E150" s="303"/>
      <c r="F150" s="302">
        <v>0.32284974650775544</v>
      </c>
      <c r="G150" s="302">
        <v>0.23440905582265617</v>
      </c>
      <c r="H150" s="302">
        <f t="shared" si="65"/>
        <v>0.55725880233041158</v>
      </c>
      <c r="I150" s="303"/>
      <c r="J150" s="302">
        <v>0.33421571006059431</v>
      </c>
      <c r="K150" s="302">
        <v>0.212408884779199</v>
      </c>
      <c r="L150" s="302">
        <f t="shared" si="66"/>
        <v>0.54662459483979331</v>
      </c>
      <c r="M150" s="236"/>
      <c r="N150" s="236"/>
    </row>
    <row r="151" spans="1:14" x14ac:dyDescent="0.3">
      <c r="A151" s="237" t="str">
        <f>name!E$10</f>
        <v>Sales and customer service occupations</v>
      </c>
      <c r="B151" s="302">
        <v>0.67785602485823282</v>
      </c>
      <c r="C151" s="302">
        <v>1.0078896827607497</v>
      </c>
      <c r="D151" s="302">
        <f t="shared" si="64"/>
        <v>1.6857457076189826</v>
      </c>
      <c r="E151" s="303"/>
      <c r="F151" s="302">
        <v>0.42681480729385518</v>
      </c>
      <c r="G151" s="302">
        <v>0.67599969037111751</v>
      </c>
      <c r="H151" s="302">
        <f t="shared" si="65"/>
        <v>1.1028144976649727</v>
      </c>
      <c r="I151" s="303"/>
      <c r="J151" s="302">
        <v>0.42296388549799813</v>
      </c>
      <c r="K151" s="302">
        <v>0.8182149656978791</v>
      </c>
      <c r="L151" s="302">
        <f t="shared" si="66"/>
        <v>1.2411788511958772</v>
      </c>
      <c r="M151" s="236"/>
      <c r="N151" s="236"/>
    </row>
    <row r="152" spans="1:14" x14ac:dyDescent="0.3">
      <c r="A152" s="237" t="str">
        <f>name!E$11</f>
        <v>Process, plant and machine operatives</v>
      </c>
      <c r="B152" s="302">
        <v>0.62799921059933039</v>
      </c>
      <c r="C152" s="302">
        <v>12.982408397734085</v>
      </c>
      <c r="D152" s="302">
        <f t="shared" si="64"/>
        <v>13.610407608333416</v>
      </c>
      <c r="E152" s="303"/>
      <c r="F152" s="302">
        <v>0.40294777750188548</v>
      </c>
      <c r="G152" s="302">
        <v>9.2680803372481488</v>
      </c>
      <c r="H152" s="302">
        <f t="shared" si="65"/>
        <v>9.671028114750035</v>
      </c>
      <c r="I152" s="303"/>
      <c r="J152" s="302">
        <v>0.52840362882235858</v>
      </c>
      <c r="K152" s="302">
        <v>8.5161642513762121</v>
      </c>
      <c r="L152" s="302">
        <f t="shared" si="66"/>
        <v>9.0445678801985707</v>
      </c>
      <c r="M152" s="236"/>
      <c r="N152" s="236"/>
    </row>
    <row r="153" spans="1:14" x14ac:dyDescent="0.3">
      <c r="A153" s="237" t="str">
        <f>name!E$12</f>
        <v>Elementary occupations</v>
      </c>
      <c r="B153" s="302">
        <v>1.3985864182055534</v>
      </c>
      <c r="C153" s="302">
        <v>4.8598179744880712</v>
      </c>
      <c r="D153" s="302">
        <f t="shared" si="64"/>
        <v>6.2584043926936248</v>
      </c>
      <c r="E153" s="303"/>
      <c r="F153" s="302">
        <v>0.72550772404605279</v>
      </c>
      <c r="G153" s="302">
        <v>3.6110294282731101</v>
      </c>
      <c r="H153" s="302">
        <f t="shared" si="65"/>
        <v>4.3365371523191634</v>
      </c>
      <c r="I153" s="303"/>
      <c r="J153" s="302">
        <v>0.60745682987842498</v>
      </c>
      <c r="K153" s="302">
        <v>2.4539207551571436</v>
      </c>
      <c r="L153" s="302">
        <f t="shared" si="66"/>
        <v>3.0613775850355687</v>
      </c>
      <c r="M153" s="236"/>
      <c r="N153" s="236"/>
    </row>
    <row r="154" spans="1:14" x14ac:dyDescent="0.3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3">
      <c r="A155" s="244" t="s">
        <v>32</v>
      </c>
      <c r="B155" s="311">
        <f>SUM(B145:B153)</f>
        <v>7.7170000000401977</v>
      </c>
      <c r="C155" s="311">
        <f t="shared" ref="C155:D155" si="67">SUM(C145:C153)</f>
        <v>47.167000000083192</v>
      </c>
      <c r="D155" s="311">
        <f t="shared" si="67"/>
        <v>54.884000000123393</v>
      </c>
      <c r="E155" s="311"/>
      <c r="F155" s="311">
        <f t="shared" ref="F155:H155" si="68">SUM(F145:F153)</f>
        <v>5.649999999960829</v>
      </c>
      <c r="G155" s="311">
        <f t="shared" si="68"/>
        <v>35.750000000112408</v>
      </c>
      <c r="H155" s="311">
        <f t="shared" si="68"/>
        <v>41.400000000073234</v>
      </c>
      <c r="I155" s="311"/>
      <c r="J155" s="311">
        <f t="shared" ref="J155:L155" si="69">SUM(J145:J153)</f>
        <v>5.6709999999905341</v>
      </c>
      <c r="K155" s="311">
        <f t="shared" si="69"/>
        <v>34.13800000013201</v>
      </c>
      <c r="L155" s="311">
        <f t="shared" si="69"/>
        <v>39.809000000122552</v>
      </c>
      <c r="M155" s="236"/>
      <c r="N155" s="236"/>
    </row>
    <row r="156" spans="1:14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3">
      <c r="A159" s="241" t="str">
        <f>name!A12</f>
        <v>Printing and recording</v>
      </c>
      <c r="B159" s="373">
        <f>B$6</f>
        <v>2015</v>
      </c>
      <c r="C159" s="373"/>
      <c r="D159" s="373"/>
      <c r="E159" s="253"/>
      <c r="F159" s="373">
        <f>F142</f>
        <v>2020</v>
      </c>
      <c r="G159" s="373"/>
      <c r="H159" s="373"/>
      <c r="I159" s="253"/>
      <c r="J159" s="373">
        <f>J142</f>
        <v>2035</v>
      </c>
      <c r="K159" s="373"/>
      <c r="L159" s="373"/>
      <c r="M159" s="236"/>
      <c r="N159" s="236"/>
    </row>
    <row r="160" spans="1:14" x14ac:dyDescent="0.3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3">
      <c r="A162" s="237" t="str">
        <f>name!E$4</f>
        <v>Managers, directors and senior officials</v>
      </c>
      <c r="B162" s="302">
        <v>3.4148103314515041</v>
      </c>
      <c r="C162" s="302">
        <v>16.631332916540892</v>
      </c>
      <c r="D162" s="302">
        <f>SUM(B162:C162)</f>
        <v>20.046143247992397</v>
      </c>
      <c r="E162" s="303"/>
      <c r="F162" s="302">
        <v>2.78622715060586</v>
      </c>
      <c r="G162" s="302">
        <v>12.479378856468301</v>
      </c>
      <c r="H162" s="302">
        <f>SUM(F162:G162)</f>
        <v>15.265606007074162</v>
      </c>
      <c r="I162" s="303"/>
      <c r="J162" s="302">
        <v>2.5303264428789141</v>
      </c>
      <c r="K162" s="302">
        <v>10.274411242238687</v>
      </c>
      <c r="L162" s="302">
        <f>SUM(J162:K162)</f>
        <v>12.804737685117601</v>
      </c>
      <c r="M162" s="236"/>
      <c r="N162" s="236"/>
    </row>
    <row r="163" spans="1:14" x14ac:dyDescent="0.3">
      <c r="A163" s="237" t="str">
        <f>name!E$5</f>
        <v>Professional occupations</v>
      </c>
      <c r="B163" s="302">
        <v>4.3512972057127071</v>
      </c>
      <c r="C163" s="302">
        <v>11.847141682870729</v>
      </c>
      <c r="D163" s="302">
        <f t="shared" ref="D163:D170" si="70">SUM(B163:C163)</f>
        <v>16.198438888583436</v>
      </c>
      <c r="E163" s="303"/>
      <c r="F163" s="302">
        <v>3.9103635058477804</v>
      </c>
      <c r="G163" s="302">
        <v>10.041887727941756</v>
      </c>
      <c r="H163" s="302">
        <f t="shared" ref="H163:H170" si="71">SUM(F163:G163)</f>
        <v>13.952251233789536</v>
      </c>
      <c r="I163" s="303"/>
      <c r="J163" s="302">
        <v>3.7618322854800628</v>
      </c>
      <c r="K163" s="302">
        <v>8.8364447127787376</v>
      </c>
      <c r="L163" s="302">
        <f t="shared" ref="L163:L170" si="72">SUM(J163:K163)</f>
        <v>12.5982769982588</v>
      </c>
      <c r="M163" s="236"/>
      <c r="N163" s="236"/>
    </row>
    <row r="164" spans="1:14" x14ac:dyDescent="0.3">
      <c r="A164" s="237" t="str">
        <f>name!E$6</f>
        <v>Associate professional occupations</v>
      </c>
      <c r="B164" s="302">
        <v>9.100364250357849</v>
      </c>
      <c r="C164" s="302">
        <v>14.081241422916083</v>
      </c>
      <c r="D164" s="302">
        <f t="shared" si="70"/>
        <v>23.181605673273932</v>
      </c>
      <c r="E164" s="303"/>
      <c r="F164" s="302">
        <v>7.1940581517687123</v>
      </c>
      <c r="G164" s="302">
        <v>11.023870961887697</v>
      </c>
      <c r="H164" s="302">
        <f t="shared" si="71"/>
        <v>18.21792911365641</v>
      </c>
      <c r="I164" s="303"/>
      <c r="J164" s="302">
        <v>6.3220331967373253</v>
      </c>
      <c r="K164" s="302">
        <v>8.3711844823938932</v>
      </c>
      <c r="L164" s="302">
        <f t="shared" si="72"/>
        <v>14.693217679131219</v>
      </c>
      <c r="M164" s="236"/>
      <c r="N164" s="236"/>
    </row>
    <row r="165" spans="1:14" x14ac:dyDescent="0.3">
      <c r="A165" s="237" t="str">
        <f>name!E$7</f>
        <v>Administrative and secretarial occupations</v>
      </c>
      <c r="B165" s="302">
        <v>7.2918431944275053</v>
      </c>
      <c r="C165" s="302">
        <v>2.3522784612145102</v>
      </c>
      <c r="D165" s="302">
        <f t="shared" si="70"/>
        <v>9.6441216556420155</v>
      </c>
      <c r="E165" s="303"/>
      <c r="F165" s="302">
        <v>5.1114619050617334</v>
      </c>
      <c r="G165" s="302">
        <v>2.0791545573643626</v>
      </c>
      <c r="H165" s="302">
        <f t="shared" si="71"/>
        <v>7.190616462426096</v>
      </c>
      <c r="I165" s="303"/>
      <c r="J165" s="302">
        <v>3.2296335638655984</v>
      </c>
      <c r="K165" s="302">
        <v>1.553559265263259</v>
      </c>
      <c r="L165" s="302">
        <f t="shared" si="72"/>
        <v>4.7831928291288577</v>
      </c>
      <c r="M165" s="236"/>
      <c r="N165" s="236"/>
    </row>
    <row r="166" spans="1:14" x14ac:dyDescent="0.3">
      <c r="A166" s="237" t="str">
        <f>name!E$8</f>
        <v>Skilled trades occupations</v>
      </c>
      <c r="B166" s="302">
        <v>1.3246775638841437</v>
      </c>
      <c r="C166" s="302">
        <v>15.612178444743416</v>
      </c>
      <c r="D166" s="302">
        <f t="shared" si="70"/>
        <v>16.936856008627558</v>
      </c>
      <c r="E166" s="303"/>
      <c r="F166" s="302">
        <v>0.92529802607972533</v>
      </c>
      <c r="G166" s="302">
        <v>8.8592135100380496</v>
      </c>
      <c r="H166" s="302">
        <f t="shared" si="71"/>
        <v>9.7845115361177744</v>
      </c>
      <c r="I166" s="303"/>
      <c r="J166" s="302">
        <v>0.6360704035985697</v>
      </c>
      <c r="K166" s="302">
        <v>5.3711662100711282</v>
      </c>
      <c r="L166" s="302">
        <f t="shared" si="72"/>
        <v>6.007236613669698</v>
      </c>
      <c r="M166" s="236"/>
      <c r="N166" s="236"/>
    </row>
    <row r="167" spans="1:14" x14ac:dyDescent="0.3">
      <c r="A167" s="237" t="str">
        <f>name!E$9</f>
        <v>Caring, leisure and other service occupations</v>
      </c>
      <c r="B167" s="302">
        <v>0.36569649662961279</v>
      </c>
      <c r="C167" s="302">
        <v>0.27559497439415703</v>
      </c>
      <c r="D167" s="302">
        <f t="shared" si="70"/>
        <v>0.64129147102376982</v>
      </c>
      <c r="E167" s="303"/>
      <c r="F167" s="302">
        <v>0.25808375185695576</v>
      </c>
      <c r="G167" s="302">
        <v>0.27963969007768158</v>
      </c>
      <c r="H167" s="302">
        <f t="shared" si="71"/>
        <v>0.53772344193463728</v>
      </c>
      <c r="I167" s="303"/>
      <c r="J167" s="302">
        <v>0.20173413087242878</v>
      </c>
      <c r="K167" s="302">
        <v>0.24087410177462154</v>
      </c>
      <c r="L167" s="302">
        <f t="shared" si="72"/>
        <v>0.44260823264705029</v>
      </c>
      <c r="M167" s="236"/>
      <c r="N167" s="236"/>
    </row>
    <row r="168" spans="1:14" x14ac:dyDescent="0.3">
      <c r="A168" s="237" t="str">
        <f>name!E$10</f>
        <v>Sales and customer service occupations</v>
      </c>
      <c r="B168" s="302">
        <v>3.4135663987122871</v>
      </c>
      <c r="C168" s="302">
        <v>2.3665977680416073</v>
      </c>
      <c r="D168" s="302">
        <f t="shared" si="70"/>
        <v>5.7801641667538943</v>
      </c>
      <c r="E168" s="303"/>
      <c r="F168" s="302">
        <v>2.3211134963669435</v>
      </c>
      <c r="G168" s="302">
        <v>1.7033975993904953</v>
      </c>
      <c r="H168" s="302">
        <f t="shared" si="71"/>
        <v>4.0245110957574388</v>
      </c>
      <c r="I168" s="303"/>
      <c r="J168" s="302">
        <v>1.8775664279257687</v>
      </c>
      <c r="K168" s="302">
        <v>1.4623658285870267</v>
      </c>
      <c r="L168" s="302">
        <f t="shared" si="72"/>
        <v>3.3399322565127951</v>
      </c>
      <c r="M168" s="236"/>
      <c r="N168" s="236"/>
    </row>
    <row r="169" spans="1:14" x14ac:dyDescent="0.3">
      <c r="A169" s="237" t="str">
        <f>name!E$11</f>
        <v>Process, plant and machine operatives</v>
      </c>
      <c r="B169" s="302">
        <v>1.0442609628180068</v>
      </c>
      <c r="C169" s="302">
        <v>4.6986372506597887</v>
      </c>
      <c r="D169" s="302">
        <f t="shared" si="70"/>
        <v>5.7428982134777957</v>
      </c>
      <c r="E169" s="303"/>
      <c r="F169" s="302">
        <v>0.66247541573758495</v>
      </c>
      <c r="G169" s="302">
        <v>3.5089948707226966</v>
      </c>
      <c r="H169" s="302">
        <f t="shared" si="71"/>
        <v>4.1714702864602815</v>
      </c>
      <c r="I169" s="303"/>
      <c r="J169" s="302">
        <v>0.92739091963561548</v>
      </c>
      <c r="K169" s="302">
        <v>2.8987585068101627</v>
      </c>
      <c r="L169" s="302">
        <f t="shared" si="72"/>
        <v>3.8261494264457783</v>
      </c>
      <c r="M169" s="236"/>
      <c r="N169" s="236"/>
    </row>
    <row r="170" spans="1:14" x14ac:dyDescent="0.3">
      <c r="A170" s="237" t="str">
        <f>name!E$12</f>
        <v>Elementary occupations</v>
      </c>
      <c r="B170" s="302">
        <v>4.204483595956642</v>
      </c>
      <c r="C170" s="302">
        <v>6.4079970786057201</v>
      </c>
      <c r="D170" s="302">
        <f t="shared" si="70"/>
        <v>10.612480674562363</v>
      </c>
      <c r="E170" s="303"/>
      <c r="F170" s="302">
        <v>2.5459185965571773</v>
      </c>
      <c r="G170" s="302">
        <v>5.2534622261524122</v>
      </c>
      <c r="H170" s="302">
        <f t="shared" si="71"/>
        <v>7.7993808227095895</v>
      </c>
      <c r="I170" s="303"/>
      <c r="J170" s="302">
        <v>1.8064126290282152</v>
      </c>
      <c r="K170" s="302">
        <v>3.0652356502353442</v>
      </c>
      <c r="L170" s="302">
        <f t="shared" si="72"/>
        <v>4.8716482792635594</v>
      </c>
      <c r="M170" s="236"/>
      <c r="N170" s="236"/>
    </row>
    <row r="171" spans="1:14" x14ac:dyDescent="0.3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3">
      <c r="A172" s="244" t="s">
        <v>32</v>
      </c>
      <c r="B172" s="311">
        <f>SUM(B162:B170)</f>
        <v>34.510999999950258</v>
      </c>
      <c r="C172" s="311">
        <f t="shared" ref="C172:D172" si="73">SUM(C162:C170)</f>
        <v>74.272999999986908</v>
      </c>
      <c r="D172" s="311">
        <f t="shared" si="73"/>
        <v>108.78399999993715</v>
      </c>
      <c r="E172" s="311"/>
      <c r="F172" s="311">
        <f t="shared" ref="F172:H172" si="74">SUM(F162:F170)</f>
        <v>25.714999999882473</v>
      </c>
      <c r="G172" s="311">
        <f t="shared" si="74"/>
        <v>55.229000000043442</v>
      </c>
      <c r="H172" s="311">
        <f t="shared" si="74"/>
        <v>80.943999999925907</v>
      </c>
      <c r="I172" s="311"/>
      <c r="J172" s="311">
        <f t="shared" ref="J172:L172" si="75">SUM(J162:J170)</f>
        <v>21.293000000022499</v>
      </c>
      <c r="K172" s="311">
        <f t="shared" si="75"/>
        <v>42.074000000152857</v>
      </c>
      <c r="L172" s="311">
        <f t="shared" si="75"/>
        <v>63.367000000175366</v>
      </c>
      <c r="M172" s="236"/>
      <c r="N172" s="236"/>
    </row>
    <row r="173" spans="1:14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3">
      <c r="A176" s="241" t="str">
        <f>name!A13</f>
        <v>Coke and petroleum; Chemicals, etc</v>
      </c>
      <c r="B176" s="373">
        <f>B$6</f>
        <v>2015</v>
      </c>
      <c r="C176" s="373"/>
      <c r="D176" s="373"/>
      <c r="E176" s="253"/>
      <c r="F176" s="373">
        <f>F159</f>
        <v>2020</v>
      </c>
      <c r="G176" s="373"/>
      <c r="H176" s="373"/>
      <c r="I176" s="253"/>
      <c r="J176" s="373">
        <f>J159</f>
        <v>2035</v>
      </c>
      <c r="K176" s="373"/>
      <c r="L176" s="373"/>
      <c r="M176" s="236"/>
      <c r="N176" s="236"/>
    </row>
    <row r="177" spans="1:14" x14ac:dyDescent="0.3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3">
      <c r="A179" s="237" t="str">
        <f>name!E$4</f>
        <v>Managers, directors and senior officials</v>
      </c>
      <c r="B179" s="302">
        <v>3.0154738064952578</v>
      </c>
      <c r="C179" s="302">
        <v>9.3839218501948132</v>
      </c>
      <c r="D179" s="302">
        <f>SUM(B179:C179)</f>
        <v>12.399395656690071</v>
      </c>
      <c r="E179" s="303"/>
      <c r="F179" s="302">
        <v>3.9720023403834159</v>
      </c>
      <c r="G179" s="302">
        <v>10.729607579398087</v>
      </c>
      <c r="H179" s="302">
        <f>SUM(F179:G179)</f>
        <v>14.701609919781502</v>
      </c>
      <c r="I179" s="303"/>
      <c r="J179" s="302">
        <v>3.991355537799139</v>
      </c>
      <c r="K179" s="302">
        <v>8.9831533840185518</v>
      </c>
      <c r="L179" s="302">
        <f>SUM(J179:K179)</f>
        <v>12.974508921817691</v>
      </c>
      <c r="M179" s="236"/>
      <c r="N179" s="236"/>
    </row>
    <row r="180" spans="1:14" x14ac:dyDescent="0.3">
      <c r="A180" s="237" t="str">
        <f>name!E$5</f>
        <v>Professional occupations</v>
      </c>
      <c r="B180" s="302">
        <v>4.1085449372139786</v>
      </c>
      <c r="C180" s="302">
        <v>17.324103176009721</v>
      </c>
      <c r="D180" s="302">
        <f t="shared" ref="D180:D187" si="76">SUM(B180:C180)</f>
        <v>21.432648113223699</v>
      </c>
      <c r="E180" s="303"/>
      <c r="F180" s="302">
        <v>5.8072378522286137</v>
      </c>
      <c r="G180" s="302">
        <v>21.30202929650595</v>
      </c>
      <c r="H180" s="302">
        <f t="shared" ref="H180:H187" si="77">SUM(F180:G180)</f>
        <v>27.109267148734563</v>
      </c>
      <c r="I180" s="303"/>
      <c r="J180" s="302">
        <v>6.2714751648492095</v>
      </c>
      <c r="K180" s="302">
        <v>19.532056177239671</v>
      </c>
      <c r="L180" s="302">
        <f t="shared" ref="L180:L187" si="78">SUM(J180:K180)</f>
        <v>25.803531342088881</v>
      </c>
      <c r="M180" s="236"/>
      <c r="N180" s="236"/>
    </row>
    <row r="181" spans="1:14" x14ac:dyDescent="0.3">
      <c r="A181" s="237" t="str">
        <f>name!E$6</f>
        <v>Associate professional occupations</v>
      </c>
      <c r="B181" s="302">
        <v>3.7135493453923099</v>
      </c>
      <c r="C181" s="302">
        <v>8.2263430420782946</v>
      </c>
      <c r="D181" s="302">
        <f t="shared" si="76"/>
        <v>11.939892387470604</v>
      </c>
      <c r="E181" s="303"/>
      <c r="F181" s="302">
        <v>4.7174633317084842</v>
      </c>
      <c r="G181" s="302">
        <v>9.8769367988314087</v>
      </c>
      <c r="H181" s="302">
        <f t="shared" si="77"/>
        <v>14.594400130539892</v>
      </c>
      <c r="I181" s="303"/>
      <c r="J181" s="302">
        <v>4.5118987875175129</v>
      </c>
      <c r="K181" s="302">
        <v>7.4501660775622582</v>
      </c>
      <c r="L181" s="302">
        <f t="shared" si="78"/>
        <v>11.962064865079771</v>
      </c>
      <c r="M181" s="236"/>
      <c r="N181" s="236"/>
    </row>
    <row r="182" spans="1:14" x14ac:dyDescent="0.3">
      <c r="A182" s="237" t="str">
        <f>name!E$7</f>
        <v>Administrative and secretarial occupations</v>
      </c>
      <c r="B182" s="302">
        <v>3.8077918250663392</v>
      </c>
      <c r="C182" s="302">
        <v>3.8972749678443086</v>
      </c>
      <c r="D182" s="302">
        <f t="shared" si="76"/>
        <v>7.7050667929106478</v>
      </c>
      <c r="E182" s="303"/>
      <c r="F182" s="302">
        <v>4.0314309165953821</v>
      </c>
      <c r="G182" s="302">
        <v>4.446143106774902</v>
      </c>
      <c r="H182" s="302">
        <f t="shared" si="77"/>
        <v>8.4775740233702841</v>
      </c>
      <c r="I182" s="303"/>
      <c r="J182" s="302">
        <v>2.8006397343785299</v>
      </c>
      <c r="K182" s="302">
        <v>3.8104496364350728</v>
      </c>
      <c r="L182" s="302">
        <f t="shared" si="78"/>
        <v>6.6110893708136027</v>
      </c>
      <c r="M182" s="236"/>
      <c r="N182" s="236"/>
    </row>
    <row r="183" spans="1:14" x14ac:dyDescent="0.3">
      <c r="A183" s="237" t="str">
        <f>name!E$8</f>
        <v>Skilled trades occupations</v>
      </c>
      <c r="B183" s="302">
        <v>0.52113930405418496</v>
      </c>
      <c r="C183" s="302">
        <v>5.5931441724363893</v>
      </c>
      <c r="D183" s="302">
        <f t="shared" si="76"/>
        <v>6.1142834764905745</v>
      </c>
      <c r="E183" s="303"/>
      <c r="F183" s="302">
        <v>0.63823079363711366</v>
      </c>
      <c r="G183" s="302">
        <v>4.5427502016934431</v>
      </c>
      <c r="H183" s="302">
        <f t="shared" si="77"/>
        <v>5.1809809953305566</v>
      </c>
      <c r="I183" s="303"/>
      <c r="J183" s="302">
        <v>0.80263109867391147</v>
      </c>
      <c r="K183" s="302">
        <v>3.2459245085585939</v>
      </c>
      <c r="L183" s="302">
        <f t="shared" si="78"/>
        <v>4.0485556072325055</v>
      </c>
      <c r="M183" s="236"/>
      <c r="N183" s="236"/>
    </row>
    <row r="184" spans="1:14" x14ac:dyDescent="0.3">
      <c r="A184" s="237" t="str">
        <f>name!E$9</f>
        <v>Caring, leisure and other service occupations</v>
      </c>
      <c r="B184" s="302">
        <v>0.77753759335282935</v>
      </c>
      <c r="C184" s="302">
        <v>0.2964530096566721</v>
      </c>
      <c r="D184" s="302">
        <f t="shared" si="76"/>
        <v>1.0739906030095014</v>
      </c>
      <c r="E184" s="303"/>
      <c r="F184" s="302">
        <v>1.0798211758407368</v>
      </c>
      <c r="G184" s="302">
        <v>0.36411394746458609</v>
      </c>
      <c r="H184" s="302">
        <f t="shared" si="77"/>
        <v>1.4439351233053228</v>
      </c>
      <c r="I184" s="303"/>
      <c r="J184" s="302">
        <v>0.84641138888144085</v>
      </c>
      <c r="K184" s="302">
        <v>0.43716462231259412</v>
      </c>
      <c r="L184" s="302">
        <f t="shared" si="78"/>
        <v>1.2835760111940351</v>
      </c>
      <c r="M184" s="236"/>
      <c r="N184" s="236"/>
    </row>
    <row r="185" spans="1:14" x14ac:dyDescent="0.3">
      <c r="A185" s="237" t="str">
        <f>name!E$10</f>
        <v>Sales and customer service occupations</v>
      </c>
      <c r="B185" s="302">
        <v>1.9306860513733459</v>
      </c>
      <c r="C185" s="302">
        <v>1.0957376175723803</v>
      </c>
      <c r="D185" s="302">
        <f t="shared" si="76"/>
        <v>3.0264236689457262</v>
      </c>
      <c r="E185" s="303"/>
      <c r="F185" s="302">
        <v>1.9734191867462327</v>
      </c>
      <c r="G185" s="302">
        <v>1.1506952524526359</v>
      </c>
      <c r="H185" s="302">
        <f t="shared" si="77"/>
        <v>3.1241144391988689</v>
      </c>
      <c r="I185" s="303"/>
      <c r="J185" s="302">
        <v>1.7922097968926547</v>
      </c>
      <c r="K185" s="302">
        <v>1.1482547940561134</v>
      </c>
      <c r="L185" s="302">
        <f t="shared" si="78"/>
        <v>2.9404645909487681</v>
      </c>
      <c r="M185" s="236"/>
      <c r="N185" s="236"/>
    </row>
    <row r="186" spans="1:14" x14ac:dyDescent="0.3">
      <c r="A186" s="237" t="str">
        <f>name!E$11</f>
        <v>Process, plant and machine operatives</v>
      </c>
      <c r="B186" s="302">
        <v>2.8403445933172682</v>
      </c>
      <c r="C186" s="302">
        <v>14.829140289819831</v>
      </c>
      <c r="D186" s="302">
        <f t="shared" si="76"/>
        <v>17.669484883137098</v>
      </c>
      <c r="E186" s="303"/>
      <c r="F186" s="302">
        <v>2.7581222702465213</v>
      </c>
      <c r="G186" s="302">
        <v>11.651074476379113</v>
      </c>
      <c r="H186" s="302">
        <f t="shared" si="77"/>
        <v>14.409196746625636</v>
      </c>
      <c r="I186" s="303"/>
      <c r="J186" s="302">
        <v>2.5562462789349198</v>
      </c>
      <c r="K186" s="302">
        <v>9.5004630465531061</v>
      </c>
      <c r="L186" s="302">
        <f t="shared" si="78"/>
        <v>12.056709325488026</v>
      </c>
      <c r="M186" s="236"/>
      <c r="N186" s="236"/>
    </row>
    <row r="187" spans="1:14" x14ac:dyDescent="0.3">
      <c r="A187" s="237" t="str">
        <f>name!E$12</f>
        <v>Elementary occupations</v>
      </c>
      <c r="B187" s="302">
        <v>2.7389325436513756</v>
      </c>
      <c r="C187" s="302">
        <v>3.973881874231707</v>
      </c>
      <c r="D187" s="302">
        <f t="shared" si="76"/>
        <v>6.7128144178830826</v>
      </c>
      <c r="E187" s="303"/>
      <c r="F187" s="302">
        <v>2.6882721324481165</v>
      </c>
      <c r="G187" s="302">
        <v>3.3136493403133933</v>
      </c>
      <c r="H187" s="302">
        <f t="shared" si="77"/>
        <v>6.0019214727615093</v>
      </c>
      <c r="I187" s="303"/>
      <c r="J187" s="302">
        <v>2.0341322121135841</v>
      </c>
      <c r="K187" s="302">
        <v>1.9823677532549036</v>
      </c>
      <c r="L187" s="302">
        <f t="shared" si="78"/>
        <v>4.0164999653684879</v>
      </c>
      <c r="M187" s="236"/>
      <c r="N187" s="236"/>
    </row>
    <row r="188" spans="1:14" x14ac:dyDescent="0.3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3">
      <c r="A189" s="244" t="s">
        <v>32</v>
      </c>
      <c r="B189" s="311">
        <f>SUM(B179:B187)</f>
        <v>23.453999999916888</v>
      </c>
      <c r="C189" s="311">
        <f t="shared" ref="C189:D189" si="79">SUM(C179:C187)</f>
        <v>64.619999999844126</v>
      </c>
      <c r="D189" s="311">
        <f t="shared" si="79"/>
        <v>88.073999999761</v>
      </c>
      <c r="E189" s="311"/>
      <c r="F189" s="311">
        <f t="shared" ref="F189:H189" si="80">SUM(F179:F187)</f>
        <v>27.665999999834618</v>
      </c>
      <c r="G189" s="311">
        <f t="shared" si="80"/>
        <v>67.376999999813521</v>
      </c>
      <c r="H189" s="311">
        <f t="shared" si="80"/>
        <v>95.042999999648131</v>
      </c>
      <c r="I189" s="311"/>
      <c r="J189" s="311">
        <f t="shared" ref="J189:L189" si="81">SUM(J179:J187)</f>
        <v>25.607000000040898</v>
      </c>
      <c r="K189" s="311">
        <f t="shared" si="81"/>
        <v>56.089999999990873</v>
      </c>
      <c r="L189" s="311">
        <f t="shared" si="81"/>
        <v>81.697000000031764</v>
      </c>
      <c r="M189" s="236"/>
      <c r="N189" s="236"/>
    </row>
    <row r="190" spans="1:14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3">
      <c r="A193" s="241" t="str">
        <f>name!A14</f>
        <v>Pharmaceuticals</v>
      </c>
      <c r="B193" s="373">
        <f>B$6</f>
        <v>2015</v>
      </c>
      <c r="C193" s="373"/>
      <c r="D193" s="373"/>
      <c r="E193" s="253"/>
      <c r="F193" s="373">
        <f>F176</f>
        <v>2020</v>
      </c>
      <c r="G193" s="373"/>
      <c r="H193" s="373"/>
      <c r="I193" s="253"/>
      <c r="J193" s="373">
        <f>J176</f>
        <v>2035</v>
      </c>
      <c r="K193" s="373"/>
      <c r="L193" s="373"/>
      <c r="M193" s="236"/>
      <c r="N193" s="236"/>
    </row>
    <row r="194" spans="1:14" x14ac:dyDescent="0.3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3">
      <c r="A196" s="237" t="str">
        <f>name!E$4</f>
        <v>Managers, directors and senior officials</v>
      </c>
      <c r="B196" s="302">
        <v>1.0537821550271571</v>
      </c>
      <c r="C196" s="302">
        <v>3.144620518976998</v>
      </c>
      <c r="D196" s="302">
        <f>SUM(B196:C196)</f>
        <v>4.1984026740041553</v>
      </c>
      <c r="E196" s="303"/>
      <c r="F196" s="302">
        <v>1.3592649308480789</v>
      </c>
      <c r="G196" s="302">
        <v>4.0111820913916674</v>
      </c>
      <c r="H196" s="302">
        <f>SUM(F196:G196)</f>
        <v>5.3704470222397465</v>
      </c>
      <c r="I196" s="303"/>
      <c r="J196" s="302">
        <v>1.4252730186534908</v>
      </c>
      <c r="K196" s="302">
        <v>4.2083642714833713</v>
      </c>
      <c r="L196" s="302">
        <f>SUM(J196:K196)</f>
        <v>5.6336372901368623</v>
      </c>
      <c r="M196" s="236"/>
      <c r="N196" s="236"/>
    </row>
    <row r="197" spans="1:14" x14ac:dyDescent="0.3">
      <c r="A197" s="237" t="str">
        <f>name!E$5</f>
        <v>Professional occupations</v>
      </c>
      <c r="B197" s="302">
        <v>4.5372886655634153</v>
      </c>
      <c r="C197" s="302">
        <v>7.678946684002133</v>
      </c>
      <c r="D197" s="302">
        <f t="shared" ref="D197:D204" si="82">SUM(B197:C197)</f>
        <v>12.216235349565547</v>
      </c>
      <c r="E197" s="303"/>
      <c r="F197" s="302">
        <v>6.1877837161107578</v>
      </c>
      <c r="G197" s="302">
        <v>10.4114225943481</v>
      </c>
      <c r="H197" s="302">
        <f t="shared" ref="H197:H204" si="83">SUM(F197:G197)</f>
        <v>16.599206310458857</v>
      </c>
      <c r="I197" s="303"/>
      <c r="J197" s="302">
        <v>6.8006621539993937</v>
      </c>
      <c r="K197" s="302">
        <v>11.961372840242138</v>
      </c>
      <c r="L197" s="302">
        <f t="shared" ref="L197:L204" si="84">SUM(J197:K197)</f>
        <v>18.762034994241532</v>
      </c>
      <c r="M197" s="236"/>
      <c r="N197" s="236"/>
    </row>
    <row r="198" spans="1:14" x14ac:dyDescent="0.3">
      <c r="A198" s="237" t="str">
        <f>name!E$6</f>
        <v>Associate professional occupations</v>
      </c>
      <c r="B198" s="302">
        <v>2.5956119481472779</v>
      </c>
      <c r="C198" s="302">
        <v>2.9149905094768229</v>
      </c>
      <c r="D198" s="302">
        <f t="shared" si="82"/>
        <v>5.5106024576241008</v>
      </c>
      <c r="E198" s="303"/>
      <c r="F198" s="302">
        <v>3.4260266988483914</v>
      </c>
      <c r="G198" s="302">
        <v>3.8068449100556871</v>
      </c>
      <c r="H198" s="302">
        <f t="shared" si="83"/>
        <v>7.2328716089040785</v>
      </c>
      <c r="I198" s="303"/>
      <c r="J198" s="302">
        <v>3.4497377513450784</v>
      </c>
      <c r="K198" s="302">
        <v>3.7261557482539387</v>
      </c>
      <c r="L198" s="302">
        <f t="shared" si="84"/>
        <v>7.1758934995990167</v>
      </c>
      <c r="M198" s="236"/>
      <c r="N198" s="236"/>
    </row>
    <row r="199" spans="1:14" x14ac:dyDescent="0.3">
      <c r="A199" s="237" t="str">
        <f>name!E$7</f>
        <v>Administrative and secretarial occupations</v>
      </c>
      <c r="B199" s="302">
        <v>1.7974506782162425</v>
      </c>
      <c r="C199" s="302">
        <v>0.47576110411320172</v>
      </c>
      <c r="D199" s="302">
        <f t="shared" si="82"/>
        <v>2.2732117823294442</v>
      </c>
      <c r="E199" s="303"/>
      <c r="F199" s="302">
        <v>1.8126379646426289</v>
      </c>
      <c r="G199" s="302">
        <v>0.52819688199486359</v>
      </c>
      <c r="H199" s="302">
        <f t="shared" si="83"/>
        <v>2.3408348466374926</v>
      </c>
      <c r="I199" s="303"/>
      <c r="J199" s="302">
        <v>1.2467815347820361</v>
      </c>
      <c r="K199" s="302">
        <v>0.57958121317072464</v>
      </c>
      <c r="L199" s="302">
        <f t="shared" si="84"/>
        <v>1.8263627479527607</v>
      </c>
      <c r="M199" s="236"/>
      <c r="N199" s="236"/>
    </row>
    <row r="200" spans="1:14" x14ac:dyDescent="0.3">
      <c r="A200" s="237" t="str">
        <f>name!E$8</f>
        <v>Skilled trades occupations</v>
      </c>
      <c r="B200" s="302">
        <v>0.16518313589888534</v>
      </c>
      <c r="C200" s="302">
        <v>1.9577550897564775</v>
      </c>
      <c r="D200" s="302">
        <f t="shared" si="82"/>
        <v>2.1229382256553628</v>
      </c>
      <c r="E200" s="303"/>
      <c r="F200" s="302">
        <v>0.32618668322420935</v>
      </c>
      <c r="G200" s="302">
        <v>2.0143954477501254</v>
      </c>
      <c r="H200" s="302">
        <f t="shared" si="83"/>
        <v>2.3405821309743349</v>
      </c>
      <c r="I200" s="303"/>
      <c r="J200" s="302">
        <v>0.4887561124060944</v>
      </c>
      <c r="K200" s="302">
        <v>1.9095661188870463</v>
      </c>
      <c r="L200" s="302">
        <f t="shared" si="84"/>
        <v>2.3983222312931405</v>
      </c>
      <c r="M200" s="236"/>
      <c r="N200" s="236"/>
    </row>
    <row r="201" spans="1:14" x14ac:dyDescent="0.3">
      <c r="A201" s="237" t="str">
        <f>name!E$9</f>
        <v>Caring, leisure and other service occupations</v>
      </c>
      <c r="B201" s="302">
        <v>0.50764091807362988</v>
      </c>
      <c r="C201" s="302">
        <v>0.25320016342338525</v>
      </c>
      <c r="D201" s="302">
        <f t="shared" si="82"/>
        <v>0.76084108149701513</v>
      </c>
      <c r="E201" s="303"/>
      <c r="F201" s="302">
        <v>0.41553115303044524</v>
      </c>
      <c r="G201" s="302">
        <v>0.27897651492419068</v>
      </c>
      <c r="H201" s="302">
        <f t="shared" si="83"/>
        <v>0.69450766795463592</v>
      </c>
      <c r="I201" s="303"/>
      <c r="J201" s="302">
        <v>0.35387194090742452</v>
      </c>
      <c r="K201" s="302">
        <v>0.33790493757348544</v>
      </c>
      <c r="L201" s="302">
        <f t="shared" si="84"/>
        <v>0.69177687848090996</v>
      </c>
      <c r="M201" s="236"/>
      <c r="N201" s="236"/>
    </row>
    <row r="202" spans="1:14" x14ac:dyDescent="0.3">
      <c r="A202" s="237" t="str">
        <f>name!E$10</f>
        <v>Sales and customer service occupations</v>
      </c>
      <c r="B202" s="302">
        <v>0.49937714162198404</v>
      </c>
      <c r="C202" s="302">
        <v>0.46027697060362416</v>
      </c>
      <c r="D202" s="302">
        <f t="shared" si="82"/>
        <v>0.95965411222560815</v>
      </c>
      <c r="E202" s="303"/>
      <c r="F202" s="302">
        <v>0.52108945272752227</v>
      </c>
      <c r="G202" s="302">
        <v>0.45404312408287184</v>
      </c>
      <c r="H202" s="302">
        <f t="shared" si="83"/>
        <v>0.97513257681039411</v>
      </c>
      <c r="I202" s="303"/>
      <c r="J202" s="302">
        <v>0.53572761480430697</v>
      </c>
      <c r="K202" s="302">
        <v>0.53956917920248026</v>
      </c>
      <c r="L202" s="302">
        <f t="shared" si="84"/>
        <v>1.0752967940067872</v>
      </c>
      <c r="M202" s="236"/>
      <c r="N202" s="236"/>
    </row>
    <row r="203" spans="1:14" x14ac:dyDescent="0.3">
      <c r="A203" s="237" t="str">
        <f>name!E$11</f>
        <v>Process, plant and machine operatives</v>
      </c>
      <c r="B203" s="302">
        <v>0.86188967215123036</v>
      </c>
      <c r="C203" s="302">
        <v>2.8751161434073702</v>
      </c>
      <c r="D203" s="302">
        <f t="shared" si="82"/>
        <v>3.7370058155586006</v>
      </c>
      <c r="E203" s="303"/>
      <c r="F203" s="302">
        <v>0.71101697291200416</v>
      </c>
      <c r="G203" s="302">
        <v>2.6857105895116233</v>
      </c>
      <c r="H203" s="302">
        <f t="shared" si="83"/>
        <v>3.3967275624236275</v>
      </c>
      <c r="I203" s="303"/>
      <c r="J203" s="302">
        <v>0.75623602005565738</v>
      </c>
      <c r="K203" s="302">
        <v>2.7466716952436765</v>
      </c>
      <c r="L203" s="302">
        <f t="shared" si="84"/>
        <v>3.502907715299334</v>
      </c>
      <c r="M203" s="236"/>
      <c r="N203" s="236"/>
    </row>
    <row r="204" spans="1:14" x14ac:dyDescent="0.3">
      <c r="A204" s="237" t="str">
        <f>name!E$12</f>
        <v>Elementary occupations</v>
      </c>
      <c r="B204" s="302">
        <v>1.6197756852353642</v>
      </c>
      <c r="C204" s="302">
        <v>0.82233281619819332</v>
      </c>
      <c r="D204" s="302">
        <f t="shared" si="82"/>
        <v>2.4421085014335575</v>
      </c>
      <c r="E204" s="303"/>
      <c r="F204" s="302">
        <v>0.84046242756742595</v>
      </c>
      <c r="G204" s="302">
        <v>0.69622784586574149</v>
      </c>
      <c r="H204" s="302">
        <f t="shared" si="83"/>
        <v>1.5366902734331673</v>
      </c>
      <c r="I204" s="303"/>
      <c r="J204" s="302">
        <v>0.71895385312739979</v>
      </c>
      <c r="K204" s="302">
        <v>0.63081399594748611</v>
      </c>
      <c r="L204" s="302">
        <f t="shared" si="84"/>
        <v>1.3497678490748859</v>
      </c>
      <c r="M204" s="236"/>
      <c r="N204" s="236"/>
    </row>
    <row r="205" spans="1:14" x14ac:dyDescent="0.3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3">
      <c r="A206" s="244" t="s">
        <v>32</v>
      </c>
      <c r="B206" s="311">
        <f>SUM(B196:B204)</f>
        <v>13.637999999935186</v>
      </c>
      <c r="C206" s="311">
        <f t="shared" ref="C206:D206" si="85">SUM(C196:C204)</f>
        <v>20.582999999958208</v>
      </c>
      <c r="D206" s="311">
        <f t="shared" si="85"/>
        <v>34.220999999893394</v>
      </c>
      <c r="E206" s="311"/>
      <c r="F206" s="311">
        <f t="shared" ref="F206:H206" si="86">SUM(F196:F204)</f>
        <v>15.599999999911464</v>
      </c>
      <c r="G206" s="311">
        <f t="shared" si="86"/>
        <v>24.886999999924871</v>
      </c>
      <c r="H206" s="311">
        <f t="shared" si="86"/>
        <v>40.486999999836335</v>
      </c>
      <c r="I206" s="311"/>
      <c r="J206" s="311">
        <f t="shared" ref="J206:L206" si="87">SUM(J196:J204)</f>
        <v>15.776000000080881</v>
      </c>
      <c r="K206" s="311">
        <f t="shared" si="87"/>
        <v>26.640000000004342</v>
      </c>
      <c r="L206" s="311">
        <f t="shared" si="87"/>
        <v>42.416000000085234</v>
      </c>
      <c r="M206" s="236"/>
      <c r="N206" s="236"/>
    </row>
    <row r="207" spans="1:14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3">
      <c r="A210" s="241" t="str">
        <f>name!A15</f>
        <v>Rubber and plastic</v>
      </c>
      <c r="B210" s="373">
        <f>B$6</f>
        <v>2015</v>
      </c>
      <c r="C210" s="373"/>
      <c r="D210" s="373"/>
      <c r="E210" s="253"/>
      <c r="F210" s="373">
        <f>F193</f>
        <v>2020</v>
      </c>
      <c r="G210" s="373"/>
      <c r="H210" s="373"/>
      <c r="I210" s="253"/>
      <c r="J210" s="373">
        <f>J193</f>
        <v>2035</v>
      </c>
      <c r="K210" s="373"/>
      <c r="L210" s="373"/>
      <c r="M210" s="236"/>
      <c r="N210" s="236"/>
    </row>
    <row r="211" spans="1:14" x14ac:dyDescent="0.3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3">
      <c r="A213" s="237" t="str">
        <f>name!E$4</f>
        <v>Managers, directors and senior officials</v>
      </c>
      <c r="B213" s="302">
        <v>3.0520359170726286</v>
      </c>
      <c r="C213" s="302">
        <v>15.541103623386217</v>
      </c>
      <c r="D213" s="302">
        <f>SUM(B213:C213)</f>
        <v>18.593139540458846</v>
      </c>
      <c r="E213" s="303"/>
      <c r="F213" s="302">
        <v>4.0568441078895106</v>
      </c>
      <c r="G213" s="302">
        <v>17.873292396509722</v>
      </c>
      <c r="H213" s="302">
        <f>SUM(F213:G213)</f>
        <v>21.930136504399233</v>
      </c>
      <c r="I213" s="303"/>
      <c r="J213" s="302">
        <v>3.8861957476776325</v>
      </c>
      <c r="K213" s="302">
        <v>15.956948995690723</v>
      </c>
      <c r="L213" s="302">
        <f>SUM(J213:K213)</f>
        <v>19.843144743368356</v>
      </c>
      <c r="M213" s="236"/>
      <c r="N213" s="236"/>
    </row>
    <row r="214" spans="1:14" x14ac:dyDescent="0.3">
      <c r="A214" s="237" t="str">
        <f>name!E$5</f>
        <v>Professional occupations</v>
      </c>
      <c r="B214" s="302">
        <v>2.8615315414760607</v>
      </c>
      <c r="C214" s="302">
        <v>11.980203075870529</v>
      </c>
      <c r="D214" s="302">
        <f t="shared" ref="D214:D221" si="88">SUM(B214:C214)</f>
        <v>14.841734617346589</v>
      </c>
      <c r="E214" s="303"/>
      <c r="F214" s="302">
        <v>4.2944034207195747</v>
      </c>
      <c r="G214" s="302">
        <v>15.644532494382586</v>
      </c>
      <c r="H214" s="302">
        <f t="shared" ref="H214:H221" si="89">SUM(F214:G214)</f>
        <v>19.93893591510216</v>
      </c>
      <c r="I214" s="303"/>
      <c r="J214" s="302">
        <v>4.5407516592873032</v>
      </c>
      <c r="K214" s="302">
        <v>16.422476197135254</v>
      </c>
      <c r="L214" s="302">
        <f t="shared" ref="L214:L221" si="90">SUM(J214:K214)</f>
        <v>20.963227856422556</v>
      </c>
      <c r="M214" s="236"/>
      <c r="N214" s="236"/>
    </row>
    <row r="215" spans="1:14" x14ac:dyDescent="0.3">
      <c r="A215" s="237" t="str">
        <f>name!E$6</f>
        <v>Associate professional occupations</v>
      </c>
      <c r="B215" s="302">
        <v>3.3630326800002903</v>
      </c>
      <c r="C215" s="302">
        <v>11.095391629880364</v>
      </c>
      <c r="D215" s="302">
        <f t="shared" si="88"/>
        <v>14.458424309880655</v>
      </c>
      <c r="E215" s="303"/>
      <c r="F215" s="302">
        <v>4.1508681422337848</v>
      </c>
      <c r="G215" s="302">
        <v>13.80248981130352</v>
      </c>
      <c r="H215" s="302">
        <f t="shared" si="89"/>
        <v>17.953357953537306</v>
      </c>
      <c r="I215" s="303"/>
      <c r="J215" s="302">
        <v>3.6330169152689744</v>
      </c>
      <c r="K215" s="302">
        <v>11.274904162836567</v>
      </c>
      <c r="L215" s="302">
        <f t="shared" si="90"/>
        <v>14.907921078105542</v>
      </c>
      <c r="M215" s="236"/>
      <c r="N215" s="236"/>
    </row>
    <row r="216" spans="1:14" x14ac:dyDescent="0.3">
      <c r="A216" s="237" t="str">
        <f>name!E$7</f>
        <v>Administrative and secretarial occupations</v>
      </c>
      <c r="B216" s="302">
        <v>8.9241472124124996</v>
      </c>
      <c r="C216" s="302">
        <v>2.7809138569598049</v>
      </c>
      <c r="D216" s="302">
        <f t="shared" si="88"/>
        <v>11.705061069372304</v>
      </c>
      <c r="E216" s="303"/>
      <c r="F216" s="302">
        <v>9.3379884146390086</v>
      </c>
      <c r="G216" s="302">
        <v>3.2025816481529872</v>
      </c>
      <c r="H216" s="302">
        <f t="shared" si="89"/>
        <v>12.540570062791996</v>
      </c>
      <c r="I216" s="303"/>
      <c r="J216" s="302">
        <v>6.0426237117057973</v>
      </c>
      <c r="K216" s="302">
        <v>2.8764632153926404</v>
      </c>
      <c r="L216" s="302">
        <f t="shared" si="90"/>
        <v>8.9190869270984372</v>
      </c>
      <c r="M216" s="236"/>
      <c r="N216" s="236"/>
    </row>
    <row r="217" spans="1:14" x14ac:dyDescent="0.3">
      <c r="A217" s="237" t="str">
        <f>name!E$8</f>
        <v>Skilled trades occupations</v>
      </c>
      <c r="B217" s="302">
        <v>1.6599472885763307</v>
      </c>
      <c r="C217" s="302">
        <v>28.008809814902474</v>
      </c>
      <c r="D217" s="302">
        <f t="shared" si="88"/>
        <v>29.668757103478804</v>
      </c>
      <c r="E217" s="303"/>
      <c r="F217" s="302">
        <v>1.7133118226757336</v>
      </c>
      <c r="G217" s="302">
        <v>22.774343126428626</v>
      </c>
      <c r="H217" s="302">
        <f t="shared" si="89"/>
        <v>24.48765494910436</v>
      </c>
      <c r="I217" s="303"/>
      <c r="J217" s="302">
        <v>2.0386355849990574</v>
      </c>
      <c r="K217" s="302">
        <v>17.613172939223549</v>
      </c>
      <c r="L217" s="302">
        <f t="shared" si="90"/>
        <v>19.651808524222606</v>
      </c>
      <c r="M217" s="236"/>
      <c r="N217" s="236"/>
    </row>
    <row r="218" spans="1:14" x14ac:dyDescent="0.3">
      <c r="A218" s="237" t="str">
        <f>name!E$9</f>
        <v>Caring, leisure and other service occupations</v>
      </c>
      <c r="B218" s="302">
        <v>1.3087459453732855</v>
      </c>
      <c r="C218" s="302">
        <v>1.2143729045482889</v>
      </c>
      <c r="D218" s="302">
        <f t="shared" si="88"/>
        <v>2.5231188499215742</v>
      </c>
      <c r="E218" s="303"/>
      <c r="F218" s="302">
        <v>1.244687855176309</v>
      </c>
      <c r="G218" s="302">
        <v>1.513203601144445</v>
      </c>
      <c r="H218" s="302">
        <f t="shared" si="89"/>
        <v>2.7578914563207539</v>
      </c>
      <c r="I218" s="303"/>
      <c r="J218" s="302">
        <v>0.94063636150136176</v>
      </c>
      <c r="K218" s="302">
        <v>2.1213629757616665</v>
      </c>
      <c r="L218" s="302">
        <f t="shared" si="90"/>
        <v>3.0619993372630283</v>
      </c>
      <c r="M218" s="236"/>
      <c r="N218" s="236"/>
    </row>
    <row r="219" spans="1:14" x14ac:dyDescent="0.3">
      <c r="A219" s="237" t="str">
        <f>name!E$10</f>
        <v>Sales and customer service occupations</v>
      </c>
      <c r="B219" s="302">
        <v>2.2683696684306969</v>
      </c>
      <c r="C219" s="302">
        <v>3.8144823273480561</v>
      </c>
      <c r="D219" s="302">
        <f t="shared" si="88"/>
        <v>6.0828519957787535</v>
      </c>
      <c r="E219" s="303"/>
      <c r="F219" s="302">
        <v>2.4028475966611107</v>
      </c>
      <c r="G219" s="302">
        <v>3.7838796604055887</v>
      </c>
      <c r="H219" s="302">
        <f t="shared" si="89"/>
        <v>6.1867272570666998</v>
      </c>
      <c r="I219" s="303"/>
      <c r="J219" s="302">
        <v>2.0947608552066819</v>
      </c>
      <c r="K219" s="302">
        <v>3.5312710665822822</v>
      </c>
      <c r="L219" s="302">
        <f t="shared" si="90"/>
        <v>5.6260319217889645</v>
      </c>
      <c r="M219" s="236"/>
      <c r="N219" s="236"/>
    </row>
    <row r="220" spans="1:14" x14ac:dyDescent="0.3">
      <c r="A220" s="237" t="str">
        <f>name!E$11</f>
        <v>Process, plant and machine operatives</v>
      </c>
      <c r="B220" s="302">
        <v>4.6196473235825843</v>
      </c>
      <c r="C220" s="302">
        <v>40.367594641186287</v>
      </c>
      <c r="D220" s="302">
        <f t="shared" si="88"/>
        <v>44.98724196476887</v>
      </c>
      <c r="E220" s="303"/>
      <c r="F220" s="302">
        <v>3.9870900909310074</v>
      </c>
      <c r="G220" s="302">
        <v>35.782233006731524</v>
      </c>
      <c r="H220" s="302">
        <f t="shared" si="89"/>
        <v>39.769323097662529</v>
      </c>
      <c r="I220" s="303"/>
      <c r="J220" s="302">
        <v>4.3751197713857195</v>
      </c>
      <c r="K220" s="302">
        <v>33.589711845280441</v>
      </c>
      <c r="L220" s="302">
        <f t="shared" si="90"/>
        <v>37.96483161666616</v>
      </c>
      <c r="M220" s="236"/>
      <c r="N220" s="236"/>
    </row>
    <row r="221" spans="1:14" x14ac:dyDescent="0.3">
      <c r="A221" s="237" t="str">
        <f>name!E$12</f>
        <v>Elementary occupations</v>
      </c>
      <c r="B221" s="302">
        <v>3.5235424231097077</v>
      </c>
      <c r="C221" s="302">
        <v>10.170128125889828</v>
      </c>
      <c r="D221" s="302">
        <f t="shared" si="88"/>
        <v>13.693670548999537</v>
      </c>
      <c r="E221" s="303"/>
      <c r="F221" s="302">
        <v>2.7099585489060742</v>
      </c>
      <c r="G221" s="302">
        <v>8.7024442549271654</v>
      </c>
      <c r="H221" s="302">
        <f t="shared" si="89"/>
        <v>11.41240280383324</v>
      </c>
      <c r="I221" s="303"/>
      <c r="J221" s="302">
        <v>1.6962593928639569</v>
      </c>
      <c r="K221" s="302">
        <v>5.0326886022169255</v>
      </c>
      <c r="L221" s="302">
        <f t="shared" si="90"/>
        <v>6.7289479950808824</v>
      </c>
      <c r="M221" s="236"/>
      <c r="N221" s="236"/>
    </row>
    <row r="222" spans="1:14" x14ac:dyDescent="0.3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3">
      <c r="A223" s="244" t="s">
        <v>32</v>
      </c>
      <c r="B223" s="311">
        <f>SUM(B213:B221)</f>
        <v>31.581000000034081</v>
      </c>
      <c r="C223" s="311">
        <f t="shared" ref="C223:D223" si="91">SUM(C213:C221)</f>
        <v>124.97299999997185</v>
      </c>
      <c r="D223" s="311">
        <f t="shared" si="91"/>
        <v>156.55400000000594</v>
      </c>
      <c r="E223" s="311"/>
      <c r="F223" s="311">
        <f t="shared" ref="F223:H223" si="92">SUM(F213:F221)</f>
        <v>33.897999999832116</v>
      </c>
      <c r="G223" s="311">
        <f t="shared" si="92"/>
        <v>123.07899999998617</v>
      </c>
      <c r="H223" s="311">
        <f t="shared" si="92"/>
        <v>156.97699999981828</v>
      </c>
      <c r="I223" s="311"/>
      <c r="J223" s="311">
        <f t="shared" ref="J223:L223" si="93">SUM(J213:J221)</f>
        <v>29.247999999896486</v>
      </c>
      <c r="K223" s="311">
        <f t="shared" si="93"/>
        <v>108.41900000012004</v>
      </c>
      <c r="L223" s="311">
        <f t="shared" si="93"/>
        <v>137.66700000001651</v>
      </c>
      <c r="M223" s="236"/>
      <c r="N223" s="236"/>
    </row>
    <row r="224" spans="1:14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3">
      <c r="A227" s="241" t="str">
        <f>name!A16</f>
        <v>Other non-metallic</v>
      </c>
      <c r="B227" s="373">
        <f>B$6</f>
        <v>2015</v>
      </c>
      <c r="C227" s="373"/>
      <c r="D227" s="373"/>
      <c r="E227" s="253"/>
      <c r="F227" s="373">
        <f>F210</f>
        <v>2020</v>
      </c>
      <c r="G227" s="373"/>
      <c r="H227" s="373"/>
      <c r="I227" s="253"/>
      <c r="J227" s="373">
        <f>J210</f>
        <v>2035</v>
      </c>
      <c r="K227" s="373"/>
      <c r="L227" s="373"/>
      <c r="M227" s="236"/>
      <c r="N227" s="236"/>
    </row>
    <row r="228" spans="1:14" x14ac:dyDescent="0.3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3">
      <c r="A230" s="237" t="str">
        <f>name!E$4</f>
        <v>Managers, directors and senior officials</v>
      </c>
      <c r="B230" s="302">
        <v>1.4540126969353115</v>
      </c>
      <c r="C230" s="302">
        <v>8.115842096594772</v>
      </c>
      <c r="D230" s="302">
        <f>SUM(B230:C230)</f>
        <v>9.5698547935300837</v>
      </c>
      <c r="E230" s="303"/>
      <c r="F230" s="302">
        <v>2.1029701262350922</v>
      </c>
      <c r="G230" s="302">
        <v>10.1317551192192</v>
      </c>
      <c r="H230" s="302">
        <f>SUM(F230:G230)</f>
        <v>12.234725245454293</v>
      </c>
      <c r="I230" s="303"/>
      <c r="J230" s="302">
        <v>1.862739682069493</v>
      </c>
      <c r="K230" s="302">
        <v>9.1064959873064133</v>
      </c>
      <c r="L230" s="302">
        <f>SUM(J230:K230)</f>
        <v>10.969235669375907</v>
      </c>
      <c r="M230" s="236"/>
      <c r="N230" s="236"/>
    </row>
    <row r="231" spans="1:14" x14ac:dyDescent="0.3">
      <c r="A231" s="237" t="str">
        <f>name!E$5</f>
        <v>Professional occupations</v>
      </c>
      <c r="B231" s="302">
        <v>1.2612575388738942</v>
      </c>
      <c r="C231" s="302">
        <v>5.1542669358115774</v>
      </c>
      <c r="D231" s="302">
        <f t="shared" ref="D231:D238" si="94">SUM(B231:C231)</f>
        <v>6.4155244746854718</v>
      </c>
      <c r="E231" s="303"/>
      <c r="F231" s="302">
        <v>2.1154660546393242</v>
      </c>
      <c r="G231" s="302">
        <v>7.574421960524063</v>
      </c>
      <c r="H231" s="302">
        <f t="shared" ref="H231:H238" si="95">SUM(F231:G231)</f>
        <v>9.6898880151633868</v>
      </c>
      <c r="I231" s="303"/>
      <c r="J231" s="302">
        <v>2.0659552747379233</v>
      </c>
      <c r="K231" s="302">
        <v>8.057797431245362</v>
      </c>
      <c r="L231" s="302">
        <f t="shared" ref="L231:L238" si="96">SUM(J231:K231)</f>
        <v>10.123752705983286</v>
      </c>
      <c r="M231" s="236"/>
      <c r="N231" s="236"/>
    </row>
    <row r="232" spans="1:14" x14ac:dyDescent="0.3">
      <c r="A232" s="237" t="str">
        <f>name!E$6</f>
        <v>Associate professional occupations</v>
      </c>
      <c r="B232" s="302">
        <v>1.6765977633362932</v>
      </c>
      <c r="C232" s="302">
        <v>4.9416687387435756</v>
      </c>
      <c r="D232" s="302">
        <f t="shared" si="94"/>
        <v>6.6182665020798686</v>
      </c>
      <c r="E232" s="303"/>
      <c r="F232" s="302">
        <v>2.4075464811463236</v>
      </c>
      <c r="G232" s="302">
        <v>6.8705542525026848</v>
      </c>
      <c r="H232" s="302">
        <f t="shared" si="95"/>
        <v>9.2781007336490084</v>
      </c>
      <c r="I232" s="303"/>
      <c r="J232" s="302">
        <v>2.0982014551731902</v>
      </c>
      <c r="K232" s="302">
        <v>6.0989386738638256</v>
      </c>
      <c r="L232" s="302">
        <f t="shared" si="96"/>
        <v>8.1971401290370167</v>
      </c>
      <c r="M232" s="236"/>
      <c r="N232" s="236"/>
    </row>
    <row r="233" spans="1:14" x14ac:dyDescent="0.3">
      <c r="A233" s="237" t="str">
        <f>name!E$7</f>
        <v>Administrative and secretarial occupations</v>
      </c>
      <c r="B233" s="302">
        <v>4.08570662778917</v>
      </c>
      <c r="C233" s="302">
        <v>1.3307569106923605</v>
      </c>
      <c r="D233" s="302">
        <f t="shared" si="94"/>
        <v>5.4164635384815307</v>
      </c>
      <c r="E233" s="303"/>
      <c r="F233" s="302">
        <v>4.9925065346821738</v>
      </c>
      <c r="G233" s="302">
        <v>1.8816780945704921</v>
      </c>
      <c r="H233" s="302">
        <f t="shared" si="95"/>
        <v>6.8741846292526656</v>
      </c>
      <c r="I233" s="303"/>
      <c r="J233" s="302">
        <v>3.1918863799298078</v>
      </c>
      <c r="K233" s="302">
        <v>1.7072762477506236</v>
      </c>
      <c r="L233" s="302">
        <f t="shared" si="96"/>
        <v>4.8991626276804316</v>
      </c>
      <c r="M233" s="236"/>
      <c r="N233" s="236"/>
    </row>
    <row r="234" spans="1:14" x14ac:dyDescent="0.3">
      <c r="A234" s="237" t="str">
        <f>name!E$8</f>
        <v>Skilled trades occupations</v>
      </c>
      <c r="B234" s="302">
        <v>1.0455602471976175</v>
      </c>
      <c r="C234" s="302">
        <v>15.746029568236262</v>
      </c>
      <c r="D234" s="302">
        <f t="shared" si="94"/>
        <v>16.791589815433881</v>
      </c>
      <c r="E234" s="303"/>
      <c r="F234" s="302">
        <v>1.0442148094862014</v>
      </c>
      <c r="G234" s="302">
        <v>14.066688254224747</v>
      </c>
      <c r="H234" s="302">
        <f t="shared" si="95"/>
        <v>15.110903063710948</v>
      </c>
      <c r="I234" s="303"/>
      <c r="J234" s="302">
        <v>1.0956617646385198</v>
      </c>
      <c r="K234" s="302">
        <v>10.804566336651405</v>
      </c>
      <c r="L234" s="302">
        <f t="shared" si="96"/>
        <v>11.900228101289924</v>
      </c>
      <c r="M234" s="236"/>
      <c r="N234" s="236"/>
    </row>
    <row r="235" spans="1:14" x14ac:dyDescent="0.3">
      <c r="A235" s="237" t="str">
        <f>name!E$9</f>
        <v>Caring, leisure and other service occupations</v>
      </c>
      <c r="B235" s="302">
        <v>0.44418562017019964</v>
      </c>
      <c r="C235" s="302">
        <v>0.66528830682362339</v>
      </c>
      <c r="D235" s="302">
        <f t="shared" si="94"/>
        <v>1.109473926993823</v>
      </c>
      <c r="E235" s="303"/>
      <c r="F235" s="302">
        <v>0.51924320945302971</v>
      </c>
      <c r="G235" s="302">
        <v>0.95890459398774164</v>
      </c>
      <c r="H235" s="302">
        <f t="shared" si="95"/>
        <v>1.4781478034407713</v>
      </c>
      <c r="I235" s="303"/>
      <c r="J235" s="302">
        <v>0.42379753731726044</v>
      </c>
      <c r="K235" s="302">
        <v>1.2970735301854877</v>
      </c>
      <c r="L235" s="302">
        <f t="shared" si="96"/>
        <v>1.7208710675027481</v>
      </c>
      <c r="M235" s="236"/>
      <c r="N235" s="236"/>
    </row>
    <row r="236" spans="1:14" x14ac:dyDescent="0.3">
      <c r="A236" s="237" t="str">
        <f>name!E$10</f>
        <v>Sales and customer service occupations</v>
      </c>
      <c r="B236" s="302">
        <v>1.5095144586948239</v>
      </c>
      <c r="C236" s="302">
        <v>1.168766184947545</v>
      </c>
      <c r="D236" s="302">
        <f t="shared" si="94"/>
        <v>2.6782806436423687</v>
      </c>
      <c r="E236" s="303"/>
      <c r="F236" s="302">
        <v>1.5957689552628922</v>
      </c>
      <c r="G236" s="302">
        <v>1.3576352548575115</v>
      </c>
      <c r="H236" s="302">
        <f t="shared" si="95"/>
        <v>2.9534042101204037</v>
      </c>
      <c r="I236" s="303"/>
      <c r="J236" s="302">
        <v>1.3182375687624757</v>
      </c>
      <c r="K236" s="302">
        <v>1.4672163260233606</v>
      </c>
      <c r="L236" s="302">
        <f t="shared" si="96"/>
        <v>2.785453894785836</v>
      </c>
      <c r="M236" s="236"/>
      <c r="N236" s="236"/>
    </row>
    <row r="237" spans="1:14" x14ac:dyDescent="0.3">
      <c r="A237" s="237" t="str">
        <f>name!E$11</f>
        <v>Process, plant and machine operatives</v>
      </c>
      <c r="B237" s="302">
        <v>1.2479538293524755</v>
      </c>
      <c r="C237" s="302">
        <v>17.331770104313652</v>
      </c>
      <c r="D237" s="302">
        <f t="shared" si="94"/>
        <v>18.579723933666127</v>
      </c>
      <c r="E237" s="303"/>
      <c r="F237" s="302">
        <v>1.1262342109026453</v>
      </c>
      <c r="G237" s="302">
        <v>17.5058297340168</v>
      </c>
      <c r="H237" s="302">
        <f t="shared" si="95"/>
        <v>18.632063944919445</v>
      </c>
      <c r="I237" s="303"/>
      <c r="J237" s="302">
        <v>1.6790291654265046</v>
      </c>
      <c r="K237" s="302">
        <v>16.007142547461239</v>
      </c>
      <c r="L237" s="302">
        <f t="shared" si="96"/>
        <v>17.686171712887745</v>
      </c>
      <c r="M237" s="236"/>
      <c r="N237" s="236"/>
    </row>
    <row r="238" spans="1:14" x14ac:dyDescent="0.3">
      <c r="A238" s="237" t="str">
        <f>name!E$12</f>
        <v>Elementary occupations</v>
      </c>
      <c r="B238" s="302">
        <v>1.9332112176707652</v>
      </c>
      <c r="C238" s="302">
        <v>4.7016111536857954</v>
      </c>
      <c r="D238" s="302">
        <f t="shared" si="94"/>
        <v>6.6348223713565604</v>
      </c>
      <c r="E238" s="303"/>
      <c r="F238" s="302">
        <v>1.5380496181417738</v>
      </c>
      <c r="G238" s="302">
        <v>4.6865327361087497</v>
      </c>
      <c r="H238" s="302">
        <f t="shared" si="95"/>
        <v>6.2245823542505239</v>
      </c>
      <c r="I238" s="303"/>
      <c r="J238" s="302">
        <v>1.0594911719167459</v>
      </c>
      <c r="K238" s="302">
        <v>2.7554929194684621</v>
      </c>
      <c r="L238" s="302">
        <f t="shared" si="96"/>
        <v>3.8149840913852078</v>
      </c>
      <c r="M238" s="236"/>
      <c r="N238" s="236"/>
    </row>
    <row r="239" spans="1:14" x14ac:dyDescent="0.3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3">
      <c r="A240" s="244" t="s">
        <v>32</v>
      </c>
      <c r="B240" s="311">
        <f>SUM(B230:B238)</f>
        <v>14.658000000020548</v>
      </c>
      <c r="C240" s="311">
        <f t="shared" ref="C240:D240" si="97">SUM(C230:C238)</f>
        <v>59.155999999849165</v>
      </c>
      <c r="D240" s="311">
        <f t="shared" si="97"/>
        <v>73.813999999869708</v>
      </c>
      <c r="E240" s="311"/>
      <c r="F240" s="311">
        <f t="shared" ref="F240:H240" si="98">SUM(F230:F238)</f>
        <v>17.441999999949456</v>
      </c>
      <c r="G240" s="311">
        <f t="shared" si="98"/>
        <v>65.034000000011986</v>
      </c>
      <c r="H240" s="311">
        <f t="shared" si="98"/>
        <v>82.475999999961445</v>
      </c>
      <c r="I240" s="311"/>
      <c r="J240" s="311">
        <f t="shared" ref="J240:L240" si="99">SUM(J230:J238)</f>
        <v>14.794999999971919</v>
      </c>
      <c r="K240" s="311">
        <f t="shared" si="99"/>
        <v>57.301999999956173</v>
      </c>
      <c r="L240" s="311">
        <f t="shared" si="99"/>
        <v>72.096999999928116</v>
      </c>
      <c r="M240" s="236"/>
      <c r="N240" s="236"/>
    </row>
    <row r="241" spans="1:14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3">
      <c r="A244" s="241" t="str">
        <f>name!A17</f>
        <v>Basic metals</v>
      </c>
      <c r="B244" s="373">
        <f>B$6</f>
        <v>2015</v>
      </c>
      <c r="C244" s="373"/>
      <c r="D244" s="373"/>
      <c r="E244" s="253"/>
      <c r="F244" s="373">
        <f>F227</f>
        <v>2020</v>
      </c>
      <c r="G244" s="373"/>
      <c r="H244" s="373"/>
      <c r="I244" s="253"/>
      <c r="J244" s="373">
        <f>J227</f>
        <v>2035</v>
      </c>
      <c r="K244" s="373"/>
      <c r="L244" s="373"/>
      <c r="M244" s="236"/>
      <c r="N244" s="236"/>
    </row>
    <row r="245" spans="1:14" x14ac:dyDescent="0.3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3">
      <c r="A247" s="237" t="str">
        <f>name!E$4</f>
        <v>Managers, directors and senior officials</v>
      </c>
      <c r="B247" s="302">
        <v>0.47445286429950057</v>
      </c>
      <c r="C247" s="302">
        <v>3.7700460411217702</v>
      </c>
      <c r="D247" s="302">
        <f>SUM(B247:C247)</f>
        <v>4.2444989054212705</v>
      </c>
      <c r="E247" s="303"/>
      <c r="F247" s="302">
        <v>0.56140017671041953</v>
      </c>
      <c r="G247" s="302">
        <v>3.9447886188192491</v>
      </c>
      <c r="H247" s="302">
        <f>SUM(F247:G247)</f>
        <v>4.5061887955296687</v>
      </c>
      <c r="I247" s="303"/>
      <c r="J247" s="302">
        <v>0.55596195846738772</v>
      </c>
      <c r="K247" s="302">
        <v>3.3716329288826161</v>
      </c>
      <c r="L247" s="302">
        <f>SUM(J247:K247)</f>
        <v>3.9275948873500037</v>
      </c>
      <c r="M247" s="236"/>
      <c r="N247" s="236"/>
    </row>
    <row r="248" spans="1:14" x14ac:dyDescent="0.3">
      <c r="A248" s="237" t="str">
        <f>name!E$5</f>
        <v>Professional occupations</v>
      </c>
      <c r="B248" s="302">
        <v>0.68488842268453165</v>
      </c>
      <c r="C248" s="302">
        <v>6.7211091916038184</v>
      </c>
      <c r="D248" s="302">
        <f t="shared" ref="D248:D255" si="100">SUM(B248:C248)</f>
        <v>7.4059976142883501</v>
      </c>
      <c r="E248" s="303"/>
      <c r="F248" s="302">
        <v>0.87042176418274952</v>
      </c>
      <c r="G248" s="302">
        <v>7.6820230041031916</v>
      </c>
      <c r="H248" s="302">
        <f t="shared" ref="H248:H255" si="101">SUM(F248:G248)</f>
        <v>8.552444768285941</v>
      </c>
      <c r="I248" s="303"/>
      <c r="J248" s="302">
        <v>0.91747391792553667</v>
      </c>
      <c r="K248" s="302">
        <v>7.7531898400353221</v>
      </c>
      <c r="L248" s="302">
        <f t="shared" ref="L248:L255" si="102">SUM(J248:K248)</f>
        <v>8.6706637579608596</v>
      </c>
      <c r="M248" s="236"/>
      <c r="N248" s="236"/>
    </row>
    <row r="249" spans="1:14" x14ac:dyDescent="0.3">
      <c r="A249" s="237" t="str">
        <f>name!E$6</f>
        <v>Associate professional occupations</v>
      </c>
      <c r="B249" s="302">
        <v>0.78148539646004178</v>
      </c>
      <c r="C249" s="302">
        <v>3.9649158046928958</v>
      </c>
      <c r="D249" s="302">
        <f t="shared" si="100"/>
        <v>4.7464012011529375</v>
      </c>
      <c r="E249" s="303"/>
      <c r="F249" s="302">
        <v>0.8671032088194629</v>
      </c>
      <c r="G249" s="302">
        <v>4.5171567391867145</v>
      </c>
      <c r="H249" s="302">
        <f t="shared" si="101"/>
        <v>5.3842599480061777</v>
      </c>
      <c r="I249" s="303"/>
      <c r="J249" s="302">
        <v>0.82061260753210863</v>
      </c>
      <c r="K249" s="302">
        <v>3.6292766508218173</v>
      </c>
      <c r="L249" s="302">
        <f t="shared" si="102"/>
        <v>4.4498892583539256</v>
      </c>
      <c r="M249" s="236"/>
      <c r="N249" s="236"/>
    </row>
    <row r="250" spans="1:14" x14ac:dyDescent="0.3">
      <c r="A250" s="237" t="str">
        <f>name!E$7</f>
        <v>Administrative and secretarial occupations</v>
      </c>
      <c r="B250" s="302">
        <v>2.6044398681945204</v>
      </c>
      <c r="C250" s="302">
        <v>1.6233178865436197</v>
      </c>
      <c r="D250" s="302">
        <f t="shared" si="100"/>
        <v>4.22775775473814</v>
      </c>
      <c r="E250" s="303"/>
      <c r="F250" s="302">
        <v>2.2059167444479368</v>
      </c>
      <c r="G250" s="302">
        <v>1.8644583986512759</v>
      </c>
      <c r="H250" s="302">
        <f t="shared" si="101"/>
        <v>4.0703751430992128</v>
      </c>
      <c r="I250" s="303"/>
      <c r="J250" s="302">
        <v>1.7226134683490224</v>
      </c>
      <c r="K250" s="302">
        <v>1.5732290481185609</v>
      </c>
      <c r="L250" s="302">
        <f t="shared" si="102"/>
        <v>3.2958425164675833</v>
      </c>
      <c r="M250" s="236"/>
      <c r="N250" s="236"/>
    </row>
    <row r="251" spans="1:14" x14ac:dyDescent="0.3">
      <c r="A251" s="237" t="str">
        <f>name!E$8</f>
        <v>Skilled trades occupations</v>
      </c>
      <c r="B251" s="302">
        <v>0.17626564272489947</v>
      </c>
      <c r="C251" s="302">
        <v>17.783510924138191</v>
      </c>
      <c r="D251" s="302">
        <f t="shared" si="100"/>
        <v>17.959776566863091</v>
      </c>
      <c r="E251" s="303"/>
      <c r="F251" s="302">
        <v>0.18238380143536681</v>
      </c>
      <c r="G251" s="302">
        <v>13.838996036975225</v>
      </c>
      <c r="H251" s="302">
        <f t="shared" si="101"/>
        <v>14.021379838410592</v>
      </c>
      <c r="I251" s="303"/>
      <c r="J251" s="302">
        <v>0.31508608030947238</v>
      </c>
      <c r="K251" s="302">
        <v>10.022502535630776</v>
      </c>
      <c r="L251" s="302">
        <f t="shared" si="102"/>
        <v>10.337588615940248</v>
      </c>
      <c r="M251" s="236"/>
      <c r="N251" s="236"/>
    </row>
    <row r="252" spans="1:14" x14ac:dyDescent="0.3">
      <c r="A252" s="237" t="str">
        <f>name!E$9</f>
        <v>Caring, leisure and other service occupations</v>
      </c>
      <c r="B252" s="302">
        <v>0.13383290401669065</v>
      </c>
      <c r="C252" s="302">
        <v>0.60662863021763802</v>
      </c>
      <c r="D252" s="302">
        <f t="shared" si="100"/>
        <v>0.7404615342343287</v>
      </c>
      <c r="E252" s="303"/>
      <c r="F252" s="302">
        <v>0.14208857893877466</v>
      </c>
      <c r="G252" s="302">
        <v>0.68065231232253143</v>
      </c>
      <c r="H252" s="302">
        <f t="shared" si="101"/>
        <v>0.82274089126130612</v>
      </c>
      <c r="I252" s="303"/>
      <c r="J252" s="302">
        <v>0.12176790599933612</v>
      </c>
      <c r="K252" s="302">
        <v>0.71199369417609104</v>
      </c>
      <c r="L252" s="302">
        <f t="shared" si="102"/>
        <v>0.83376160017542711</v>
      </c>
      <c r="M252" s="236"/>
      <c r="N252" s="236"/>
    </row>
    <row r="253" spans="1:14" x14ac:dyDescent="0.3">
      <c r="A253" s="237" t="str">
        <f>name!E$10</f>
        <v>Sales and customer service occupations</v>
      </c>
      <c r="B253" s="302">
        <v>0.18547690466599676</v>
      </c>
      <c r="C253" s="302">
        <v>0.43484681515183982</v>
      </c>
      <c r="D253" s="302">
        <f t="shared" si="100"/>
        <v>0.62032371981783663</v>
      </c>
      <c r="E253" s="303"/>
      <c r="F253" s="302">
        <v>0.16819046637323279</v>
      </c>
      <c r="G253" s="302">
        <v>0.42005142034003051</v>
      </c>
      <c r="H253" s="302">
        <f t="shared" si="101"/>
        <v>0.58824188671326327</v>
      </c>
      <c r="I253" s="303"/>
      <c r="J253" s="302">
        <v>0.16723853908194883</v>
      </c>
      <c r="K253" s="302">
        <v>0.43853549786911228</v>
      </c>
      <c r="L253" s="302">
        <f t="shared" si="102"/>
        <v>0.60577403695106113</v>
      </c>
      <c r="M253" s="236"/>
      <c r="N253" s="236"/>
    </row>
    <row r="254" spans="1:14" x14ac:dyDescent="0.3">
      <c r="A254" s="237" t="str">
        <f>name!E$11</f>
        <v>Process, plant and machine operatives</v>
      </c>
      <c r="B254" s="302">
        <v>0.49189495975814862</v>
      </c>
      <c r="C254" s="302">
        <v>10.255219302651719</v>
      </c>
      <c r="D254" s="302">
        <f t="shared" si="100"/>
        <v>10.747114262409868</v>
      </c>
      <c r="E254" s="303"/>
      <c r="F254" s="302">
        <v>0.33965525397890795</v>
      </c>
      <c r="G254" s="302">
        <v>7.9167880276589981</v>
      </c>
      <c r="H254" s="302">
        <f t="shared" si="101"/>
        <v>8.2564432816379068</v>
      </c>
      <c r="I254" s="303"/>
      <c r="J254" s="302">
        <v>0.44079000035348509</v>
      </c>
      <c r="K254" s="302">
        <v>7.488372477394786</v>
      </c>
      <c r="L254" s="302">
        <f t="shared" si="102"/>
        <v>7.929162477748271</v>
      </c>
      <c r="M254" s="236"/>
      <c r="N254" s="236"/>
    </row>
    <row r="255" spans="1:14" x14ac:dyDescent="0.3">
      <c r="A255" s="237" t="str">
        <f>name!E$12</f>
        <v>Elementary occupations</v>
      </c>
      <c r="B255" s="302">
        <v>0.37526303718528653</v>
      </c>
      <c r="C255" s="302">
        <v>2.2774054038122178</v>
      </c>
      <c r="D255" s="302">
        <f t="shared" si="100"/>
        <v>2.6526684409975045</v>
      </c>
      <c r="E255" s="303"/>
      <c r="F255" s="302">
        <v>0.31284000507831583</v>
      </c>
      <c r="G255" s="302">
        <v>1.7040854418857088</v>
      </c>
      <c r="H255" s="302">
        <f t="shared" si="101"/>
        <v>2.0169254469640245</v>
      </c>
      <c r="I255" s="303"/>
      <c r="J255" s="302">
        <v>0.21345552198003703</v>
      </c>
      <c r="K255" s="302">
        <v>1.0012673270175985</v>
      </c>
      <c r="L255" s="302">
        <f t="shared" si="102"/>
        <v>1.2147228489976354</v>
      </c>
      <c r="M255" s="236"/>
      <c r="N255" s="236"/>
    </row>
    <row r="256" spans="1:14" x14ac:dyDescent="0.3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3">
      <c r="A257" s="244" t="s">
        <v>32</v>
      </c>
      <c r="B257" s="311">
        <f>SUM(B247:B255)</f>
        <v>5.9079999999896167</v>
      </c>
      <c r="C257" s="311">
        <f t="shared" ref="C257:D257" si="103">SUM(C247:C255)</f>
        <v>47.436999999933711</v>
      </c>
      <c r="D257" s="311">
        <f t="shared" si="103"/>
        <v>53.344999999923324</v>
      </c>
      <c r="E257" s="311"/>
      <c r="F257" s="311">
        <f t="shared" ref="F257:H257" si="104">SUM(F247:F255)</f>
        <v>5.649999999965166</v>
      </c>
      <c r="G257" s="311">
        <f t="shared" si="104"/>
        <v>42.568999999942925</v>
      </c>
      <c r="H257" s="311">
        <f t="shared" si="104"/>
        <v>48.218999999908085</v>
      </c>
      <c r="I257" s="311"/>
      <c r="J257" s="311">
        <f t="shared" ref="J257:L257" si="105">SUM(J247:J255)</f>
        <v>5.274999999998335</v>
      </c>
      <c r="K257" s="311">
        <f t="shared" si="105"/>
        <v>35.989999999946683</v>
      </c>
      <c r="L257" s="311">
        <f t="shared" si="105"/>
        <v>41.264999999945026</v>
      </c>
      <c r="M257" s="236"/>
      <c r="N257" s="236"/>
    </row>
    <row r="258" spans="1:14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3">
      <c r="A261" s="241" t="str">
        <f>name!A18</f>
        <v>Metal products</v>
      </c>
      <c r="B261" s="373">
        <f>B$6</f>
        <v>2015</v>
      </c>
      <c r="C261" s="373"/>
      <c r="D261" s="373"/>
      <c r="E261" s="253"/>
      <c r="F261" s="373">
        <f>F244</f>
        <v>2020</v>
      </c>
      <c r="G261" s="373"/>
      <c r="H261" s="373"/>
      <c r="I261" s="253"/>
      <c r="J261" s="373">
        <f>J244</f>
        <v>2035</v>
      </c>
      <c r="K261" s="373"/>
      <c r="L261" s="373"/>
      <c r="M261" s="236"/>
      <c r="N261" s="236"/>
    </row>
    <row r="262" spans="1:14" x14ac:dyDescent="0.3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3">
      <c r="A264" s="237" t="str">
        <f>name!E$4</f>
        <v>Managers, directors and senior officials</v>
      </c>
      <c r="B264" s="302">
        <v>4.5823450101387682</v>
      </c>
      <c r="C264" s="302">
        <v>25.090307062123912</v>
      </c>
      <c r="D264" s="302">
        <f>SUM(B264:C264)</f>
        <v>29.672652072262679</v>
      </c>
      <c r="E264" s="303"/>
      <c r="F264" s="302">
        <v>5.3918250839630302</v>
      </c>
      <c r="G264" s="302">
        <v>24.832852641211012</v>
      </c>
      <c r="H264" s="302">
        <f>SUM(F264:G264)</f>
        <v>30.224677725174043</v>
      </c>
      <c r="I264" s="303"/>
      <c r="J264" s="302">
        <v>5.3996977418525169</v>
      </c>
      <c r="K264" s="302">
        <v>21.783776883582938</v>
      </c>
      <c r="L264" s="302">
        <f>SUM(J264:K264)</f>
        <v>27.183474625435455</v>
      </c>
      <c r="M264" s="236"/>
      <c r="N264" s="236"/>
    </row>
    <row r="265" spans="1:14" x14ac:dyDescent="0.3">
      <c r="A265" s="237" t="str">
        <f>name!E$5</f>
        <v>Professional occupations</v>
      </c>
      <c r="B265" s="302">
        <v>4.8579404726414959</v>
      </c>
      <c r="C265" s="302">
        <v>29.84885224052416</v>
      </c>
      <c r="D265" s="302">
        <f t="shared" ref="D265:D272" si="106">SUM(B265:C265)</f>
        <v>34.706792713165655</v>
      </c>
      <c r="E265" s="303"/>
      <c r="F265" s="302">
        <v>5.7173661947317616</v>
      </c>
      <c r="G265" s="302">
        <v>32.165592073045183</v>
      </c>
      <c r="H265" s="302">
        <f t="shared" ref="H265:H272" si="107">SUM(F265:G265)</f>
        <v>37.882958267776942</v>
      </c>
      <c r="I265" s="303"/>
      <c r="J265" s="302">
        <v>6.1738678857845137</v>
      </c>
      <c r="K265" s="302">
        <v>32.678585154993812</v>
      </c>
      <c r="L265" s="302">
        <f t="shared" ref="L265:L272" si="108">SUM(J265:K265)</f>
        <v>38.852453040778329</v>
      </c>
      <c r="M265" s="236"/>
      <c r="N265" s="236"/>
    </row>
    <row r="266" spans="1:14" x14ac:dyDescent="0.3">
      <c r="A266" s="237" t="str">
        <f>name!E$6</f>
        <v>Associate professional occupations</v>
      </c>
      <c r="B266" s="302">
        <v>5.4824967385839818</v>
      </c>
      <c r="C266" s="302">
        <v>25.379897706535242</v>
      </c>
      <c r="D266" s="302">
        <f t="shared" si="106"/>
        <v>30.862394445119225</v>
      </c>
      <c r="E266" s="303"/>
      <c r="F266" s="302">
        <v>5.4289454035267504</v>
      </c>
      <c r="G266" s="302">
        <v>26.391718101997199</v>
      </c>
      <c r="H266" s="302">
        <f t="shared" si="107"/>
        <v>31.82066350552395</v>
      </c>
      <c r="I266" s="303"/>
      <c r="J266" s="302">
        <v>4.9439624513874758</v>
      </c>
      <c r="K266" s="302">
        <v>21.340273821286868</v>
      </c>
      <c r="L266" s="302">
        <f t="shared" si="108"/>
        <v>26.284236272674342</v>
      </c>
      <c r="M266" s="236"/>
      <c r="N266" s="236"/>
    </row>
    <row r="267" spans="1:14" x14ac:dyDescent="0.3">
      <c r="A267" s="237" t="str">
        <f>name!E$7</f>
        <v>Administrative and secretarial occupations</v>
      </c>
      <c r="B267" s="302">
        <v>15.336829240875351</v>
      </c>
      <c r="C267" s="302">
        <v>5.3200860203838412</v>
      </c>
      <c r="D267" s="302">
        <f t="shared" si="106"/>
        <v>20.656915261259194</v>
      </c>
      <c r="E267" s="303"/>
      <c r="F267" s="302">
        <v>12.856241637998737</v>
      </c>
      <c r="G267" s="302">
        <v>5.3060402266597606</v>
      </c>
      <c r="H267" s="302">
        <f t="shared" si="107"/>
        <v>18.162281864658496</v>
      </c>
      <c r="I267" s="303"/>
      <c r="J267" s="302">
        <v>8.181834061679238</v>
      </c>
      <c r="K267" s="302">
        <v>4.6240978786961495</v>
      </c>
      <c r="L267" s="302">
        <f t="shared" si="108"/>
        <v>12.805931940375388</v>
      </c>
      <c r="M267" s="236"/>
      <c r="N267" s="236"/>
    </row>
    <row r="268" spans="1:14" x14ac:dyDescent="0.3">
      <c r="A268" s="237" t="str">
        <f>name!E$8</f>
        <v>Skilled trades occupations</v>
      </c>
      <c r="B268" s="302">
        <v>1.7020954233330614</v>
      </c>
      <c r="C268" s="302">
        <v>106.97840227082385</v>
      </c>
      <c r="D268" s="302">
        <f t="shared" si="106"/>
        <v>108.68049769415691</v>
      </c>
      <c r="E268" s="303"/>
      <c r="F268" s="302">
        <v>1.7056838400319951</v>
      </c>
      <c r="G268" s="302">
        <v>77.732977577675427</v>
      </c>
      <c r="H268" s="302">
        <f t="shared" si="107"/>
        <v>79.438661417707422</v>
      </c>
      <c r="I268" s="303"/>
      <c r="J268" s="302">
        <v>3.1881076787093328</v>
      </c>
      <c r="K268" s="302">
        <v>57.285358134257741</v>
      </c>
      <c r="L268" s="302">
        <f t="shared" si="108"/>
        <v>60.473465812967078</v>
      </c>
      <c r="M268" s="236"/>
      <c r="N268" s="236"/>
    </row>
    <row r="269" spans="1:14" x14ac:dyDescent="0.3">
      <c r="A269" s="237" t="str">
        <f>name!E$9</f>
        <v>Caring, leisure and other service occupations</v>
      </c>
      <c r="B269" s="302">
        <v>0.73930291093832357</v>
      </c>
      <c r="C269" s="302">
        <v>1.4493330792450272</v>
      </c>
      <c r="D269" s="302">
        <f t="shared" si="106"/>
        <v>2.188635990183351</v>
      </c>
      <c r="E269" s="303"/>
      <c r="F269" s="302">
        <v>0.60682182575188692</v>
      </c>
      <c r="G269" s="302">
        <v>1.4411731870341542</v>
      </c>
      <c r="H269" s="302">
        <f t="shared" si="107"/>
        <v>2.0479950127860409</v>
      </c>
      <c r="I269" s="303"/>
      <c r="J269" s="302">
        <v>0.54482050329207155</v>
      </c>
      <c r="K269" s="302">
        <v>1.8367096662238833</v>
      </c>
      <c r="L269" s="302">
        <f t="shared" si="108"/>
        <v>2.3815301695159548</v>
      </c>
      <c r="M269" s="236"/>
      <c r="N269" s="236"/>
    </row>
    <row r="270" spans="1:14" x14ac:dyDescent="0.3">
      <c r="A270" s="237" t="str">
        <f>name!E$10</f>
        <v>Sales and customer service occupations</v>
      </c>
      <c r="B270" s="302">
        <v>2.0835115354370437</v>
      </c>
      <c r="C270" s="302">
        <v>2.1764155211345795</v>
      </c>
      <c r="D270" s="302">
        <f t="shared" si="106"/>
        <v>4.2599270565716232</v>
      </c>
      <c r="E270" s="303"/>
      <c r="F270" s="302">
        <v>1.7590883396613759</v>
      </c>
      <c r="G270" s="302">
        <v>1.8960009937122413</v>
      </c>
      <c r="H270" s="302">
        <f t="shared" si="107"/>
        <v>3.655089333373617</v>
      </c>
      <c r="I270" s="303"/>
      <c r="J270" s="302">
        <v>1.685101778460897</v>
      </c>
      <c r="K270" s="302">
        <v>1.938143885909462</v>
      </c>
      <c r="L270" s="302">
        <f t="shared" si="108"/>
        <v>3.623245664370359</v>
      </c>
      <c r="M270" s="236"/>
      <c r="N270" s="236"/>
    </row>
    <row r="271" spans="1:14" x14ac:dyDescent="0.3">
      <c r="A271" s="237" t="str">
        <f>name!E$11</f>
        <v>Process, plant and machine operatives</v>
      </c>
      <c r="B271" s="302">
        <v>5.6787783233488449</v>
      </c>
      <c r="C271" s="302">
        <v>31.580247493859744</v>
      </c>
      <c r="D271" s="302">
        <f t="shared" si="106"/>
        <v>37.259025817208588</v>
      </c>
      <c r="E271" s="303"/>
      <c r="F271" s="302">
        <v>3.829033207095673</v>
      </c>
      <c r="G271" s="302">
        <v>22.253628576023392</v>
      </c>
      <c r="H271" s="302">
        <f t="shared" si="107"/>
        <v>26.082661783119065</v>
      </c>
      <c r="I271" s="303"/>
      <c r="J271" s="302">
        <v>4.8848446893709028</v>
      </c>
      <c r="K271" s="302">
        <v>21.091699411659786</v>
      </c>
      <c r="L271" s="302">
        <f t="shared" si="108"/>
        <v>25.97654410103069</v>
      </c>
      <c r="M271" s="236"/>
      <c r="N271" s="236"/>
    </row>
    <row r="272" spans="1:14" x14ac:dyDescent="0.3">
      <c r="A272" s="237" t="str">
        <f>name!E$12</f>
        <v>Elementary occupations</v>
      </c>
      <c r="B272" s="302">
        <v>2.889700344672864</v>
      </c>
      <c r="C272" s="302">
        <v>8.5304586050059203</v>
      </c>
      <c r="D272" s="302">
        <f t="shared" si="106"/>
        <v>11.420158949678784</v>
      </c>
      <c r="E272" s="303"/>
      <c r="F272" s="302">
        <v>2.0259944671008654</v>
      </c>
      <c r="G272" s="302">
        <v>6.0180166222649731</v>
      </c>
      <c r="H272" s="302">
        <f t="shared" si="107"/>
        <v>8.0440110893658385</v>
      </c>
      <c r="I272" s="303"/>
      <c r="J272" s="302">
        <v>1.3137632094484488</v>
      </c>
      <c r="K272" s="302">
        <v>3.3233551633240448</v>
      </c>
      <c r="L272" s="302">
        <f t="shared" si="108"/>
        <v>4.6371183727724938</v>
      </c>
      <c r="M272" s="236"/>
      <c r="N272" s="236"/>
    </row>
    <row r="273" spans="1:14" x14ac:dyDescent="0.3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3">
      <c r="A274" s="244" t="s">
        <v>32</v>
      </c>
      <c r="B274" s="311">
        <f>SUM(B264:B272)</f>
        <v>43.35299999996974</v>
      </c>
      <c r="C274" s="311">
        <f t="shared" ref="C274:D274" si="109">SUM(C264:C272)</f>
        <v>236.35399999963627</v>
      </c>
      <c r="D274" s="311">
        <f t="shared" si="109"/>
        <v>279.70699999960601</v>
      </c>
      <c r="E274" s="311"/>
      <c r="F274" s="311">
        <f t="shared" ref="F274:H274" si="110">SUM(F264:F272)</f>
        <v>39.320999999862075</v>
      </c>
      <c r="G274" s="311">
        <f t="shared" si="110"/>
        <v>198.03799999962337</v>
      </c>
      <c r="H274" s="311">
        <f t="shared" si="110"/>
        <v>237.35899999948538</v>
      </c>
      <c r="I274" s="311"/>
      <c r="J274" s="311">
        <f t="shared" ref="J274:L274" si="111">SUM(J264:J272)</f>
        <v>36.315999999985401</v>
      </c>
      <c r="K274" s="311">
        <f t="shared" si="111"/>
        <v>165.90199999993467</v>
      </c>
      <c r="L274" s="311">
        <f t="shared" si="111"/>
        <v>202.21799999992012</v>
      </c>
      <c r="M274" s="236"/>
      <c r="N274" s="236"/>
    </row>
    <row r="275" spans="1:14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3">
      <c r="A278" s="241" t="str">
        <f>name!A19</f>
        <v>Computer, etc</v>
      </c>
      <c r="B278" s="373">
        <f>B$6</f>
        <v>2015</v>
      </c>
      <c r="C278" s="373"/>
      <c r="D278" s="373"/>
      <c r="E278" s="253"/>
      <c r="F278" s="373">
        <f>F261</f>
        <v>2020</v>
      </c>
      <c r="G278" s="373"/>
      <c r="H278" s="373"/>
      <c r="I278" s="253"/>
      <c r="J278" s="373">
        <f>J261</f>
        <v>2035</v>
      </c>
      <c r="K278" s="373"/>
      <c r="L278" s="373"/>
      <c r="M278" s="236"/>
      <c r="N278" s="236"/>
    </row>
    <row r="279" spans="1:14" x14ac:dyDescent="0.3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3">
      <c r="A281" s="237" t="str">
        <f>name!E$4</f>
        <v>Managers, directors and senior officials</v>
      </c>
      <c r="B281" s="302">
        <v>2.5790989949424241</v>
      </c>
      <c r="C281" s="302">
        <v>12.418497970428893</v>
      </c>
      <c r="D281" s="302">
        <f>SUM(B281:C281)</f>
        <v>14.997596965371317</v>
      </c>
      <c r="E281" s="303"/>
      <c r="F281" s="302">
        <v>3.431764281951315</v>
      </c>
      <c r="G281" s="302">
        <v>14.121779448798732</v>
      </c>
      <c r="H281" s="302">
        <f>SUM(F281:G281)</f>
        <v>17.553543730750047</v>
      </c>
      <c r="I281" s="303"/>
      <c r="J281" s="302">
        <v>2.8123716862311583</v>
      </c>
      <c r="K281" s="302">
        <v>12.901868340373671</v>
      </c>
      <c r="L281" s="302">
        <f>SUM(J281:K281)</f>
        <v>15.714240026604829</v>
      </c>
      <c r="M281" s="236"/>
      <c r="N281" s="236"/>
    </row>
    <row r="282" spans="1:14" x14ac:dyDescent="0.3">
      <c r="A282" s="237" t="str">
        <f>name!E$5</f>
        <v>Professional occupations</v>
      </c>
      <c r="B282" s="302">
        <v>4.4105015005909332</v>
      </c>
      <c r="C282" s="302">
        <v>23.795581361304762</v>
      </c>
      <c r="D282" s="302">
        <f t="shared" ref="D282:D289" si="112">SUM(B282:C282)</f>
        <v>28.206082861895695</v>
      </c>
      <c r="E282" s="303"/>
      <c r="F282" s="302">
        <v>6.4808701421311516</v>
      </c>
      <c r="G282" s="302">
        <v>28.701845701826915</v>
      </c>
      <c r="H282" s="302">
        <f t="shared" ref="H282:H289" si="113">SUM(F282:G282)</f>
        <v>35.182715843958064</v>
      </c>
      <c r="I282" s="303"/>
      <c r="J282" s="302">
        <v>5.7032265756093921</v>
      </c>
      <c r="K282" s="302">
        <v>29.10053298111842</v>
      </c>
      <c r="L282" s="302">
        <f t="shared" ref="L282:L289" si="114">SUM(J282:K282)</f>
        <v>34.803759556727812</v>
      </c>
      <c r="M282" s="236"/>
      <c r="N282" s="236"/>
    </row>
    <row r="283" spans="1:14" x14ac:dyDescent="0.3">
      <c r="A283" s="237" t="str">
        <f>name!E$6</f>
        <v>Associate professional occupations</v>
      </c>
      <c r="B283" s="302">
        <v>4.2873881645048559</v>
      </c>
      <c r="C283" s="302">
        <v>11.013989026874675</v>
      </c>
      <c r="D283" s="302">
        <f t="shared" si="112"/>
        <v>15.301377191379531</v>
      </c>
      <c r="E283" s="303"/>
      <c r="F283" s="302">
        <v>5.4267914872119976</v>
      </c>
      <c r="G283" s="302">
        <v>13.070303674987079</v>
      </c>
      <c r="H283" s="302">
        <f t="shared" si="113"/>
        <v>18.497095162199077</v>
      </c>
      <c r="I283" s="303"/>
      <c r="J283" s="302">
        <v>4.3818188393845325</v>
      </c>
      <c r="K283" s="302">
        <v>10.829658513858607</v>
      </c>
      <c r="L283" s="302">
        <f t="shared" si="114"/>
        <v>15.21147735324314</v>
      </c>
      <c r="M283" s="236"/>
      <c r="N283" s="236"/>
    </row>
    <row r="284" spans="1:14" x14ac:dyDescent="0.3">
      <c r="A284" s="237" t="str">
        <f>name!E$7</f>
        <v>Administrative and secretarial occupations</v>
      </c>
      <c r="B284" s="302">
        <v>5.5276244652217228</v>
      </c>
      <c r="C284" s="302">
        <v>1.9891036785086103</v>
      </c>
      <c r="D284" s="302">
        <f t="shared" si="112"/>
        <v>7.516728143730333</v>
      </c>
      <c r="E284" s="303"/>
      <c r="F284" s="302">
        <v>5.2722678244432384</v>
      </c>
      <c r="G284" s="302">
        <v>2.1997101052465822</v>
      </c>
      <c r="H284" s="302">
        <f t="shared" si="113"/>
        <v>7.471977929689821</v>
      </c>
      <c r="I284" s="303"/>
      <c r="J284" s="302">
        <v>2.8230511261355531</v>
      </c>
      <c r="K284" s="302">
        <v>2.0651718648434669</v>
      </c>
      <c r="L284" s="302">
        <f t="shared" si="114"/>
        <v>4.8882229909790205</v>
      </c>
      <c r="M284" s="236"/>
      <c r="N284" s="236"/>
    </row>
    <row r="285" spans="1:14" x14ac:dyDescent="0.3">
      <c r="A285" s="237" t="str">
        <f>name!E$8</f>
        <v>Skilled trades occupations</v>
      </c>
      <c r="B285" s="302">
        <v>1.1926068784659938</v>
      </c>
      <c r="C285" s="302">
        <v>14.560552852453879</v>
      </c>
      <c r="D285" s="302">
        <f t="shared" si="112"/>
        <v>15.753159730919872</v>
      </c>
      <c r="E285" s="303"/>
      <c r="F285" s="302">
        <v>1.2934590541826996</v>
      </c>
      <c r="G285" s="302">
        <v>11.085323219246252</v>
      </c>
      <c r="H285" s="302">
        <f t="shared" si="113"/>
        <v>12.378782273428952</v>
      </c>
      <c r="I285" s="303"/>
      <c r="J285" s="302">
        <v>1.3987381632007825</v>
      </c>
      <c r="K285" s="302">
        <v>8.4708652486945635</v>
      </c>
      <c r="L285" s="302">
        <f t="shared" si="114"/>
        <v>9.869603411895346</v>
      </c>
      <c r="M285" s="236"/>
      <c r="N285" s="236"/>
    </row>
    <row r="286" spans="1:14" x14ac:dyDescent="0.3">
      <c r="A286" s="237" t="str">
        <f>name!E$9</f>
        <v>Caring, leisure and other service occupations</v>
      </c>
      <c r="B286" s="302">
        <v>0.51376131871582043</v>
      </c>
      <c r="C286" s="302">
        <v>0.32564619024679298</v>
      </c>
      <c r="D286" s="302">
        <f t="shared" si="112"/>
        <v>0.8394075089626134</v>
      </c>
      <c r="E286" s="303"/>
      <c r="F286" s="302">
        <v>0.50740072454640683</v>
      </c>
      <c r="G286" s="302">
        <v>0.32421465195475324</v>
      </c>
      <c r="H286" s="302">
        <f t="shared" si="113"/>
        <v>0.83161537650116002</v>
      </c>
      <c r="I286" s="303"/>
      <c r="J286" s="302">
        <v>0.33367519338333673</v>
      </c>
      <c r="K286" s="302">
        <v>0.39258003776533107</v>
      </c>
      <c r="L286" s="302">
        <f t="shared" si="114"/>
        <v>0.72625523114866786</v>
      </c>
      <c r="M286" s="236"/>
      <c r="N286" s="236"/>
    </row>
    <row r="287" spans="1:14" x14ac:dyDescent="0.3">
      <c r="A287" s="237" t="str">
        <f>name!E$10</f>
        <v>Sales and customer service occupations</v>
      </c>
      <c r="B287" s="302">
        <v>1.5192832982901752</v>
      </c>
      <c r="C287" s="302">
        <v>1.612186307932765</v>
      </c>
      <c r="D287" s="302">
        <f t="shared" si="112"/>
        <v>3.1314696062229403</v>
      </c>
      <c r="E287" s="303"/>
      <c r="F287" s="302">
        <v>1.4770993407620434</v>
      </c>
      <c r="G287" s="302">
        <v>1.7332974104662981</v>
      </c>
      <c r="H287" s="302">
        <f t="shared" si="113"/>
        <v>3.2103967512283416</v>
      </c>
      <c r="I287" s="303"/>
      <c r="J287" s="302">
        <v>1.193560127677161</v>
      </c>
      <c r="K287" s="302">
        <v>2.2314994425392198</v>
      </c>
      <c r="L287" s="302">
        <f t="shared" si="114"/>
        <v>3.4250595702163809</v>
      </c>
      <c r="M287" s="236"/>
      <c r="N287" s="236"/>
    </row>
    <row r="288" spans="1:14" x14ac:dyDescent="0.3">
      <c r="A288" s="237" t="str">
        <f>name!E$11</f>
        <v>Process, plant and machine operatives</v>
      </c>
      <c r="B288" s="302">
        <v>4.5909804285068763</v>
      </c>
      <c r="C288" s="302">
        <v>4.76469015902968</v>
      </c>
      <c r="D288" s="302">
        <f t="shared" si="112"/>
        <v>9.3556705875365562</v>
      </c>
      <c r="E288" s="303"/>
      <c r="F288" s="302">
        <v>3.2567322732093609</v>
      </c>
      <c r="G288" s="302">
        <v>3.5360314486808946</v>
      </c>
      <c r="H288" s="302">
        <f t="shared" si="113"/>
        <v>6.792763721890255</v>
      </c>
      <c r="I288" s="303"/>
      <c r="J288" s="302">
        <v>2.5428554417175984</v>
      </c>
      <c r="K288" s="302">
        <v>3.4196388293784685</v>
      </c>
      <c r="L288" s="302">
        <f t="shared" si="114"/>
        <v>5.9624942710960669</v>
      </c>
      <c r="M288" s="236"/>
      <c r="N288" s="236"/>
    </row>
    <row r="289" spans="1:14" x14ac:dyDescent="0.3">
      <c r="A289" s="237" t="str">
        <f>name!E$12</f>
        <v>Elementary occupations</v>
      </c>
      <c r="B289" s="302">
        <v>1.2917549506738819</v>
      </c>
      <c r="C289" s="302">
        <v>1.9437524530094161</v>
      </c>
      <c r="D289" s="302">
        <f t="shared" si="112"/>
        <v>3.235507403683298</v>
      </c>
      <c r="E289" s="303"/>
      <c r="F289" s="302">
        <v>0.96961487142135572</v>
      </c>
      <c r="G289" s="302">
        <v>1.3774943386225262</v>
      </c>
      <c r="H289" s="302">
        <f t="shared" si="113"/>
        <v>2.347109210043882</v>
      </c>
      <c r="I289" s="303"/>
      <c r="J289" s="302">
        <v>0.77070284667562172</v>
      </c>
      <c r="K289" s="302">
        <v>0.80618474152865083</v>
      </c>
      <c r="L289" s="302">
        <f t="shared" si="114"/>
        <v>1.5768875882042726</v>
      </c>
      <c r="M289" s="236"/>
      <c r="N289" s="236"/>
    </row>
    <row r="290" spans="1:14" x14ac:dyDescent="0.3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3">
      <c r="A291" s="244" t="s">
        <v>32</v>
      </c>
      <c r="B291" s="311">
        <f>SUM(B281:B289)</f>
        <v>25.912999999912685</v>
      </c>
      <c r="C291" s="311">
        <f t="shared" ref="C291:D291" si="115">SUM(C281:C289)</f>
        <v>72.423999999789473</v>
      </c>
      <c r="D291" s="311">
        <f t="shared" si="115"/>
        <v>98.336999999702144</v>
      </c>
      <c r="E291" s="311"/>
      <c r="F291" s="311">
        <f t="shared" ref="F291:H291" si="116">SUM(F281:F289)</f>
        <v>28.115999999859572</v>
      </c>
      <c r="G291" s="311">
        <f t="shared" si="116"/>
        <v>76.14999999983003</v>
      </c>
      <c r="H291" s="311">
        <f t="shared" si="116"/>
        <v>104.2659999996896</v>
      </c>
      <c r="I291" s="311"/>
      <c r="J291" s="311">
        <f t="shared" ref="J291:L291" si="117">SUM(J281:J289)</f>
        <v>21.960000000015132</v>
      </c>
      <c r="K291" s="311">
        <f t="shared" si="117"/>
        <v>70.218000000100403</v>
      </c>
      <c r="L291" s="311">
        <f t="shared" si="117"/>
        <v>92.178000000115517</v>
      </c>
      <c r="M291" s="236"/>
      <c r="N291" s="236"/>
    </row>
    <row r="292" spans="1:14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3">
      <c r="A295" s="241" t="str">
        <f>name!A20</f>
        <v>Electrical equipment</v>
      </c>
      <c r="B295" s="373">
        <f>B$6</f>
        <v>2015</v>
      </c>
      <c r="C295" s="373"/>
      <c r="D295" s="373"/>
      <c r="E295" s="253"/>
      <c r="F295" s="373">
        <f>F278</f>
        <v>2020</v>
      </c>
      <c r="G295" s="373"/>
      <c r="H295" s="373"/>
      <c r="I295" s="253"/>
      <c r="J295" s="373">
        <f>J278</f>
        <v>2035</v>
      </c>
      <c r="K295" s="373"/>
      <c r="L295" s="373"/>
      <c r="M295" s="236"/>
      <c r="N295" s="236"/>
    </row>
    <row r="296" spans="1:14" x14ac:dyDescent="0.3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3">
      <c r="A298" s="237" t="str">
        <f>name!E$4</f>
        <v>Managers, directors and senior officials</v>
      </c>
      <c r="B298" s="302">
        <v>1.7308191295955226</v>
      </c>
      <c r="C298" s="302">
        <v>8.8051635918667497</v>
      </c>
      <c r="D298" s="302">
        <f>SUM(B298:C298)</f>
        <v>10.535982721462272</v>
      </c>
      <c r="E298" s="303"/>
      <c r="F298" s="302">
        <v>2.5140555896686196</v>
      </c>
      <c r="G298" s="302">
        <v>7.7551716315632868</v>
      </c>
      <c r="H298" s="302">
        <f>SUM(F298:G298)</f>
        <v>10.269227221231906</v>
      </c>
      <c r="I298" s="303"/>
      <c r="J298" s="302">
        <v>2.7450669753550581</v>
      </c>
      <c r="K298" s="302">
        <v>7.0909834476237297</v>
      </c>
      <c r="L298" s="302">
        <f>SUM(J298:K298)</f>
        <v>9.8360504229787882</v>
      </c>
      <c r="M298" s="236"/>
      <c r="N298" s="236"/>
    </row>
    <row r="299" spans="1:14" x14ac:dyDescent="0.3">
      <c r="A299" s="237" t="str">
        <f>name!E$5</f>
        <v>Professional occupations</v>
      </c>
      <c r="B299" s="302">
        <v>2.4373290569717803</v>
      </c>
      <c r="C299" s="302">
        <v>10.709401890025537</v>
      </c>
      <c r="D299" s="302">
        <f t="shared" ref="D299:D306" si="118">SUM(B299:C299)</f>
        <v>13.146730946997318</v>
      </c>
      <c r="E299" s="303"/>
      <c r="F299" s="302">
        <v>2.9819437711810068</v>
      </c>
      <c r="G299" s="302">
        <v>10.16859501021257</v>
      </c>
      <c r="H299" s="302">
        <f t="shared" ref="H299:H306" si="119">SUM(F299:G299)</f>
        <v>13.150538781393577</v>
      </c>
      <c r="I299" s="303"/>
      <c r="J299" s="302">
        <v>3.4093766933249907</v>
      </c>
      <c r="K299" s="302">
        <v>10.538313102531548</v>
      </c>
      <c r="L299" s="302">
        <f t="shared" ref="L299:L306" si="120">SUM(J299:K299)</f>
        <v>13.947689795856538</v>
      </c>
      <c r="M299" s="236"/>
      <c r="N299" s="236"/>
    </row>
    <row r="300" spans="1:14" x14ac:dyDescent="0.3">
      <c r="A300" s="237" t="str">
        <f>name!E$6</f>
        <v>Associate professional occupations</v>
      </c>
      <c r="B300" s="302">
        <v>2.7209790185851799</v>
      </c>
      <c r="C300" s="302">
        <v>6.9794460628944615</v>
      </c>
      <c r="D300" s="302">
        <f t="shared" si="118"/>
        <v>9.7004250814796418</v>
      </c>
      <c r="E300" s="303"/>
      <c r="F300" s="302">
        <v>2.7867417901215088</v>
      </c>
      <c r="G300" s="302">
        <v>6.3209276733496464</v>
      </c>
      <c r="H300" s="302">
        <f t="shared" si="119"/>
        <v>9.1076694634711544</v>
      </c>
      <c r="I300" s="303"/>
      <c r="J300" s="302">
        <v>2.9192037369384316</v>
      </c>
      <c r="K300" s="302">
        <v>5.1195897134076755</v>
      </c>
      <c r="L300" s="302">
        <f t="shared" si="120"/>
        <v>8.0387934503461072</v>
      </c>
      <c r="M300" s="236"/>
      <c r="N300" s="236"/>
    </row>
    <row r="301" spans="1:14" x14ac:dyDescent="0.3">
      <c r="A301" s="237" t="str">
        <f>name!E$7</f>
        <v>Administrative and secretarial occupations</v>
      </c>
      <c r="B301" s="302">
        <v>5.5252305389782457</v>
      </c>
      <c r="C301" s="302">
        <v>1.2998584438920393</v>
      </c>
      <c r="D301" s="302">
        <f t="shared" si="118"/>
        <v>6.8250889828702848</v>
      </c>
      <c r="E301" s="303"/>
      <c r="F301" s="302">
        <v>4.7211575420445486</v>
      </c>
      <c r="G301" s="302">
        <v>1.1850137617679755</v>
      </c>
      <c r="H301" s="302">
        <f t="shared" si="119"/>
        <v>5.9061713038125241</v>
      </c>
      <c r="I301" s="303"/>
      <c r="J301" s="302">
        <v>3.5669759227321118</v>
      </c>
      <c r="K301" s="302">
        <v>1.1946482514689771</v>
      </c>
      <c r="L301" s="302">
        <f t="shared" si="120"/>
        <v>4.7616241742010885</v>
      </c>
      <c r="M301" s="236"/>
      <c r="N301" s="236"/>
    </row>
    <row r="302" spans="1:14" x14ac:dyDescent="0.3">
      <c r="A302" s="237" t="str">
        <f>name!E$8</f>
        <v>Skilled trades occupations</v>
      </c>
      <c r="B302" s="302">
        <v>0.75987877046406882</v>
      </c>
      <c r="C302" s="302">
        <v>15.838613543181907</v>
      </c>
      <c r="D302" s="302">
        <f t="shared" si="118"/>
        <v>16.598492313645977</v>
      </c>
      <c r="E302" s="303"/>
      <c r="F302" s="302">
        <v>0.77563210225058876</v>
      </c>
      <c r="G302" s="302">
        <v>9.5202464718267699</v>
      </c>
      <c r="H302" s="302">
        <f t="shared" si="119"/>
        <v>10.295878574077358</v>
      </c>
      <c r="I302" s="303"/>
      <c r="J302" s="302">
        <v>1.3923508680678398</v>
      </c>
      <c r="K302" s="302">
        <v>7.2069869494534542</v>
      </c>
      <c r="L302" s="302">
        <f t="shared" si="120"/>
        <v>8.5993378175212936</v>
      </c>
      <c r="M302" s="236"/>
      <c r="N302" s="236"/>
    </row>
    <row r="303" spans="1:14" x14ac:dyDescent="0.3">
      <c r="A303" s="237" t="str">
        <f>name!E$9</f>
        <v>Caring, leisure and other service occupations</v>
      </c>
      <c r="B303" s="302">
        <v>1.097861327484805</v>
      </c>
      <c r="C303" s="302">
        <v>0.26026697546072081</v>
      </c>
      <c r="D303" s="302">
        <f t="shared" si="118"/>
        <v>1.3581283029455258</v>
      </c>
      <c r="E303" s="303"/>
      <c r="F303" s="302">
        <v>1.0695198267751946</v>
      </c>
      <c r="G303" s="302">
        <v>0.2249568068473434</v>
      </c>
      <c r="H303" s="302">
        <f t="shared" si="119"/>
        <v>1.294476633622538</v>
      </c>
      <c r="I303" s="303"/>
      <c r="J303" s="302">
        <v>1.0877711829838597</v>
      </c>
      <c r="K303" s="302">
        <v>0.25903031020405098</v>
      </c>
      <c r="L303" s="302">
        <f t="shared" si="120"/>
        <v>1.3468014931879106</v>
      </c>
      <c r="M303" s="236"/>
      <c r="N303" s="236"/>
    </row>
    <row r="304" spans="1:14" x14ac:dyDescent="0.3">
      <c r="A304" s="237" t="str">
        <f>name!E$10</f>
        <v>Sales and customer service occupations</v>
      </c>
      <c r="B304" s="302">
        <v>1.1131198178114372</v>
      </c>
      <c r="C304" s="302">
        <v>1.2967475133876942</v>
      </c>
      <c r="D304" s="302">
        <f t="shared" si="118"/>
        <v>2.4098673311991314</v>
      </c>
      <c r="E304" s="303"/>
      <c r="F304" s="302">
        <v>0.9992670643349687</v>
      </c>
      <c r="G304" s="302">
        <v>1.134107628391589</v>
      </c>
      <c r="H304" s="302">
        <f t="shared" si="119"/>
        <v>2.1333746927265578</v>
      </c>
      <c r="I304" s="303"/>
      <c r="J304" s="302">
        <v>1.0718779908971414</v>
      </c>
      <c r="K304" s="302">
        <v>1.2073350529416431</v>
      </c>
      <c r="L304" s="302">
        <f t="shared" si="120"/>
        <v>2.2792130438387845</v>
      </c>
      <c r="M304" s="236"/>
      <c r="N304" s="236"/>
    </row>
    <row r="305" spans="1:14" x14ac:dyDescent="0.3">
      <c r="A305" s="237" t="str">
        <f>name!E$11</f>
        <v>Process, plant and machine operatives</v>
      </c>
      <c r="B305" s="302">
        <v>3.2469622948057295</v>
      </c>
      <c r="C305" s="302">
        <v>8.0667599494260873</v>
      </c>
      <c r="D305" s="302">
        <f t="shared" si="118"/>
        <v>11.313722244231817</v>
      </c>
      <c r="E305" s="303"/>
      <c r="F305" s="302">
        <v>1.9317033901711202</v>
      </c>
      <c r="G305" s="302">
        <v>4.5971381952480854</v>
      </c>
      <c r="H305" s="302">
        <f t="shared" si="119"/>
        <v>6.5288415854192055</v>
      </c>
      <c r="I305" s="303"/>
      <c r="J305" s="302">
        <v>2.1010935750872264</v>
      </c>
      <c r="K305" s="302">
        <v>4.4114267488501335</v>
      </c>
      <c r="L305" s="302">
        <f t="shared" si="120"/>
        <v>6.5125203239373599</v>
      </c>
      <c r="M305" s="236"/>
      <c r="N305" s="236"/>
    </row>
    <row r="306" spans="1:14" x14ac:dyDescent="0.3">
      <c r="A306" s="237" t="str">
        <f>name!E$12</f>
        <v>Elementary occupations</v>
      </c>
      <c r="B306" s="302">
        <v>1.0638200452357487</v>
      </c>
      <c r="C306" s="302">
        <v>2.6527420296976461</v>
      </c>
      <c r="D306" s="302">
        <f t="shared" si="118"/>
        <v>3.7165620749333947</v>
      </c>
      <c r="E306" s="303"/>
      <c r="F306" s="302">
        <v>0.80497892337468036</v>
      </c>
      <c r="G306" s="302">
        <v>1.5908428207129195</v>
      </c>
      <c r="H306" s="302">
        <f t="shared" si="119"/>
        <v>2.3958217440875997</v>
      </c>
      <c r="I306" s="303"/>
      <c r="J306" s="302">
        <v>0.63428305459795831</v>
      </c>
      <c r="K306" s="302">
        <v>0.94868642354846322</v>
      </c>
      <c r="L306" s="302">
        <f t="shared" si="120"/>
        <v>1.5829694781464214</v>
      </c>
      <c r="M306" s="236"/>
      <c r="N306" s="236"/>
    </row>
    <row r="307" spans="1:14" x14ac:dyDescent="0.3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3">
      <c r="A308" s="244" t="s">
        <v>32</v>
      </c>
      <c r="B308" s="311">
        <f>SUM(B298:B306)</f>
        <v>19.695999999932514</v>
      </c>
      <c r="C308" s="311">
        <f t="shared" ref="C308:D308" si="121">SUM(C298:C306)</f>
        <v>55.908999999832844</v>
      </c>
      <c r="D308" s="311">
        <f t="shared" si="121"/>
        <v>75.604999999765354</v>
      </c>
      <c r="E308" s="311"/>
      <c r="F308" s="311">
        <f t="shared" ref="F308:H308" si="122">SUM(F298:F306)</f>
        <v>18.584999999922236</v>
      </c>
      <c r="G308" s="311">
        <f t="shared" si="122"/>
        <v>42.496999999920192</v>
      </c>
      <c r="H308" s="311">
        <f t="shared" si="122"/>
        <v>61.081999999842417</v>
      </c>
      <c r="I308" s="311"/>
      <c r="J308" s="311">
        <f t="shared" ref="J308:L308" si="123">SUM(J298:J306)</f>
        <v>18.927999999984618</v>
      </c>
      <c r="K308" s="311">
        <f t="shared" si="123"/>
        <v>37.977000000029676</v>
      </c>
      <c r="L308" s="311">
        <f t="shared" si="123"/>
        <v>56.905000000014297</v>
      </c>
      <c r="M308" s="236"/>
      <c r="N308" s="236"/>
    </row>
    <row r="309" spans="1:14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3">
      <c r="A312" s="241" t="str">
        <f>name!A21</f>
        <v>Machinery n.e.c.</v>
      </c>
      <c r="B312" s="373">
        <f>B$6</f>
        <v>2015</v>
      </c>
      <c r="C312" s="373"/>
      <c r="D312" s="373"/>
      <c r="E312" s="253"/>
      <c r="F312" s="373">
        <f>F295</f>
        <v>2020</v>
      </c>
      <c r="G312" s="373"/>
      <c r="H312" s="373"/>
      <c r="I312" s="253"/>
      <c r="J312" s="373">
        <f>J295</f>
        <v>2035</v>
      </c>
      <c r="K312" s="373"/>
      <c r="L312" s="373"/>
      <c r="M312" s="236"/>
      <c r="N312" s="236"/>
    </row>
    <row r="313" spans="1:14" x14ac:dyDescent="0.3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3">
      <c r="A315" s="237" t="str">
        <f>name!E$4</f>
        <v>Managers, directors and senior officials</v>
      </c>
      <c r="B315" s="302">
        <v>2.5746137990650002</v>
      </c>
      <c r="C315" s="302">
        <v>19.048698592117525</v>
      </c>
      <c r="D315" s="302">
        <f>SUM(B315:C315)</f>
        <v>21.623312391182523</v>
      </c>
      <c r="E315" s="303"/>
      <c r="F315" s="302">
        <v>3.8908941757819147</v>
      </c>
      <c r="G315" s="302">
        <v>20.661602470224548</v>
      </c>
      <c r="H315" s="302">
        <f>SUM(F315:G315)</f>
        <v>24.55249664600646</v>
      </c>
      <c r="I315" s="303"/>
      <c r="J315" s="302">
        <v>3.7610506042450988</v>
      </c>
      <c r="K315" s="302">
        <v>19.324720693228265</v>
      </c>
      <c r="L315" s="302">
        <f>SUM(J315:K315)</f>
        <v>23.085771297473364</v>
      </c>
      <c r="M315" s="236"/>
      <c r="N315" s="236"/>
    </row>
    <row r="316" spans="1:14" x14ac:dyDescent="0.3">
      <c r="A316" s="237" t="str">
        <f>name!E$5</f>
        <v>Professional occupations</v>
      </c>
      <c r="B316" s="302">
        <v>3.0762478539757265</v>
      </c>
      <c r="C316" s="302">
        <v>25.665794358605059</v>
      </c>
      <c r="D316" s="302">
        <f t="shared" ref="D316:D323" si="124">SUM(B316:C316)</f>
        <v>28.742042212580785</v>
      </c>
      <c r="E316" s="303"/>
      <c r="F316" s="302">
        <v>4.6687858213504621</v>
      </c>
      <c r="G316" s="302">
        <v>30.836666522861712</v>
      </c>
      <c r="H316" s="302">
        <f t="shared" ref="H316:H323" si="125">SUM(F316:G316)</f>
        <v>35.505452344212173</v>
      </c>
      <c r="I316" s="303"/>
      <c r="J316" s="302">
        <v>4.6219755341100326</v>
      </c>
      <c r="K316" s="302">
        <v>31.96201113689423</v>
      </c>
      <c r="L316" s="302">
        <f t="shared" ref="L316:L323" si="126">SUM(J316:K316)</f>
        <v>36.583986671004261</v>
      </c>
      <c r="M316" s="236"/>
      <c r="N316" s="236"/>
    </row>
    <row r="317" spans="1:14" x14ac:dyDescent="0.3">
      <c r="A317" s="237" t="str">
        <f>name!E$6</f>
        <v>Associate professional occupations</v>
      </c>
      <c r="B317" s="302">
        <v>3.5163176167774099</v>
      </c>
      <c r="C317" s="302">
        <v>14.468939054178144</v>
      </c>
      <c r="D317" s="302">
        <f t="shared" si="124"/>
        <v>17.985256670955554</v>
      </c>
      <c r="E317" s="303"/>
      <c r="F317" s="302">
        <v>4.632605708817735</v>
      </c>
      <c r="G317" s="302">
        <v>16.407242732267608</v>
      </c>
      <c r="H317" s="302">
        <f t="shared" si="125"/>
        <v>21.039848441085343</v>
      </c>
      <c r="I317" s="303"/>
      <c r="J317" s="302">
        <v>4.2186736736415424</v>
      </c>
      <c r="K317" s="302">
        <v>13.506084272052489</v>
      </c>
      <c r="L317" s="302">
        <f t="shared" si="126"/>
        <v>17.72475794569403</v>
      </c>
      <c r="M317" s="236"/>
      <c r="N317" s="236"/>
    </row>
    <row r="318" spans="1:14" x14ac:dyDescent="0.3">
      <c r="A318" s="237" t="str">
        <f>name!E$7</f>
        <v>Administrative and secretarial occupations</v>
      </c>
      <c r="B318" s="302">
        <v>7.9145300192504751</v>
      </c>
      <c r="C318" s="302">
        <v>3.5659569295596496</v>
      </c>
      <c r="D318" s="302">
        <f t="shared" si="124"/>
        <v>11.480486948810125</v>
      </c>
      <c r="E318" s="303"/>
      <c r="F318" s="302">
        <v>8.9956641867234133</v>
      </c>
      <c r="G318" s="302">
        <v>3.8565611885021185</v>
      </c>
      <c r="H318" s="302">
        <f t="shared" si="125"/>
        <v>12.852225375225531</v>
      </c>
      <c r="I318" s="303"/>
      <c r="J318" s="302">
        <v>5.6845805891546464</v>
      </c>
      <c r="K318" s="302">
        <v>3.8796191285075179</v>
      </c>
      <c r="L318" s="302">
        <f t="shared" si="126"/>
        <v>9.5641997176621647</v>
      </c>
      <c r="M318" s="236"/>
      <c r="N318" s="236"/>
    </row>
    <row r="319" spans="1:14" x14ac:dyDescent="0.3">
      <c r="A319" s="237" t="str">
        <f>name!E$8</f>
        <v>Skilled trades occupations</v>
      </c>
      <c r="B319" s="302">
        <v>0.79704210856527924</v>
      </c>
      <c r="C319" s="302">
        <v>42.502848194379503</v>
      </c>
      <c r="D319" s="302">
        <f t="shared" si="124"/>
        <v>43.299890302944782</v>
      </c>
      <c r="E319" s="303"/>
      <c r="F319" s="302">
        <v>1.0595194935352761</v>
      </c>
      <c r="G319" s="302">
        <v>33.597949188685597</v>
      </c>
      <c r="H319" s="302">
        <f t="shared" si="125"/>
        <v>34.657468682220873</v>
      </c>
      <c r="I319" s="303"/>
      <c r="J319" s="302">
        <v>1.7086913000443484</v>
      </c>
      <c r="K319" s="302">
        <v>25.808454188193416</v>
      </c>
      <c r="L319" s="302">
        <f t="shared" si="126"/>
        <v>27.517145488237766</v>
      </c>
      <c r="M319" s="236"/>
      <c r="N319" s="236"/>
    </row>
    <row r="320" spans="1:14" x14ac:dyDescent="0.3">
      <c r="A320" s="237" t="str">
        <f>name!E$9</f>
        <v>Caring, leisure and other service occupations</v>
      </c>
      <c r="B320" s="302">
        <v>1.458409027440096</v>
      </c>
      <c r="C320" s="302">
        <v>0.25878857594225746</v>
      </c>
      <c r="D320" s="302">
        <f t="shared" si="124"/>
        <v>1.7171976033823535</v>
      </c>
      <c r="E320" s="303"/>
      <c r="F320" s="302">
        <v>1.4031886663409554</v>
      </c>
      <c r="G320" s="302">
        <v>0.27052751735927616</v>
      </c>
      <c r="H320" s="302">
        <f t="shared" si="125"/>
        <v>1.6737161837002317</v>
      </c>
      <c r="I320" s="303"/>
      <c r="J320" s="302">
        <v>1.2603652650565331</v>
      </c>
      <c r="K320" s="302">
        <v>0.30748378927390763</v>
      </c>
      <c r="L320" s="302">
        <f t="shared" si="126"/>
        <v>1.5678490543304409</v>
      </c>
      <c r="M320" s="236"/>
      <c r="N320" s="236"/>
    </row>
    <row r="321" spans="1:14" x14ac:dyDescent="0.3">
      <c r="A321" s="237" t="str">
        <f>name!E$10</f>
        <v>Sales and customer service occupations</v>
      </c>
      <c r="B321" s="302">
        <v>1.8140078236042319</v>
      </c>
      <c r="C321" s="302">
        <v>3.0107210256332229</v>
      </c>
      <c r="D321" s="302">
        <f t="shared" si="124"/>
        <v>4.8247288492374549</v>
      </c>
      <c r="E321" s="303"/>
      <c r="F321" s="302">
        <v>2.0426907945951225</v>
      </c>
      <c r="G321" s="302">
        <v>2.9121615341483049</v>
      </c>
      <c r="H321" s="302">
        <f t="shared" si="125"/>
        <v>4.9548523287434278</v>
      </c>
      <c r="I321" s="303"/>
      <c r="J321" s="302">
        <v>1.7515438991151757</v>
      </c>
      <c r="K321" s="302">
        <v>3.0173950917072334</v>
      </c>
      <c r="L321" s="302">
        <f t="shared" si="126"/>
        <v>4.7689389908224094</v>
      </c>
      <c r="M321" s="236"/>
      <c r="N321" s="236"/>
    </row>
    <row r="322" spans="1:14" x14ac:dyDescent="0.3">
      <c r="A322" s="237" t="str">
        <f>name!E$11</f>
        <v>Process, plant and machine operatives</v>
      </c>
      <c r="B322" s="302">
        <v>3.3548477374394614</v>
      </c>
      <c r="C322" s="302">
        <v>17.027206000728196</v>
      </c>
      <c r="D322" s="302">
        <f t="shared" si="124"/>
        <v>20.382053738167656</v>
      </c>
      <c r="E322" s="303"/>
      <c r="F322" s="302">
        <v>2.9987062056040985</v>
      </c>
      <c r="G322" s="302">
        <v>13.453073524198368</v>
      </c>
      <c r="H322" s="302">
        <f t="shared" si="125"/>
        <v>16.451779729802468</v>
      </c>
      <c r="I322" s="303"/>
      <c r="J322" s="302">
        <v>3.0236204664509083</v>
      </c>
      <c r="K322" s="302">
        <v>13.542995963260974</v>
      </c>
      <c r="L322" s="302">
        <f t="shared" si="126"/>
        <v>16.566616429711882</v>
      </c>
      <c r="M322" s="236"/>
      <c r="N322" s="236"/>
    </row>
    <row r="323" spans="1:14" x14ac:dyDescent="0.3">
      <c r="A323" s="237" t="str">
        <f>name!E$12</f>
        <v>Elementary occupations</v>
      </c>
      <c r="B323" s="302">
        <v>1.5479840138194272</v>
      </c>
      <c r="C323" s="302">
        <v>5.6100472684357801</v>
      </c>
      <c r="D323" s="302">
        <f t="shared" si="124"/>
        <v>7.158031282255207</v>
      </c>
      <c r="E323" s="303"/>
      <c r="F323" s="302">
        <v>1.3739449470958753</v>
      </c>
      <c r="G323" s="302">
        <v>4.2462153214567282</v>
      </c>
      <c r="H323" s="302">
        <f t="shared" si="125"/>
        <v>5.6201602685526035</v>
      </c>
      <c r="I323" s="303"/>
      <c r="J323" s="302">
        <v>1.0774986681689198</v>
      </c>
      <c r="K323" s="302">
        <v>2.6362357369262059</v>
      </c>
      <c r="L323" s="302">
        <f t="shared" si="126"/>
        <v>3.713734405095126</v>
      </c>
      <c r="M323" s="236"/>
      <c r="N323" s="236"/>
    </row>
    <row r="324" spans="1:14" x14ac:dyDescent="0.3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3">
      <c r="A325" s="244" t="s">
        <v>32</v>
      </c>
      <c r="B325" s="311">
        <f>SUM(B315:B323)</f>
        <v>26.053999999937108</v>
      </c>
      <c r="C325" s="311">
        <f t="shared" ref="C325:D325" si="127">SUM(C315:C323)</f>
        <v>131.15899999957935</v>
      </c>
      <c r="D325" s="311">
        <f t="shared" si="127"/>
        <v>157.21299999951643</v>
      </c>
      <c r="E325" s="311"/>
      <c r="F325" s="311">
        <f t="shared" ref="F325:H325" si="128">SUM(F315:F323)</f>
        <v>31.065999999844855</v>
      </c>
      <c r="G325" s="311">
        <f t="shared" si="128"/>
        <v>126.24199999970425</v>
      </c>
      <c r="H325" s="311">
        <f t="shared" si="128"/>
        <v>157.30799999954914</v>
      </c>
      <c r="I325" s="311"/>
      <c r="J325" s="311">
        <f t="shared" ref="J325:L325" si="129">SUM(J315:J323)</f>
        <v>27.107999999987204</v>
      </c>
      <c r="K325" s="311">
        <f t="shared" si="129"/>
        <v>113.98500000004422</v>
      </c>
      <c r="L325" s="311">
        <f t="shared" si="129"/>
        <v>141.09300000003142</v>
      </c>
      <c r="M325" s="236"/>
      <c r="N325" s="236"/>
    </row>
    <row r="326" spans="1:14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3">
      <c r="A329" s="241" t="str">
        <f>name!A22</f>
        <v>Motor vehicles, etc</v>
      </c>
      <c r="B329" s="373">
        <f>B$6</f>
        <v>2015</v>
      </c>
      <c r="C329" s="373"/>
      <c r="D329" s="373"/>
      <c r="E329" s="253"/>
      <c r="F329" s="373">
        <f>F312</f>
        <v>2020</v>
      </c>
      <c r="G329" s="373"/>
      <c r="H329" s="373"/>
      <c r="I329" s="253"/>
      <c r="J329" s="373">
        <f>J312</f>
        <v>2035</v>
      </c>
      <c r="K329" s="373"/>
      <c r="L329" s="373"/>
      <c r="M329" s="236"/>
      <c r="N329" s="236"/>
    </row>
    <row r="330" spans="1:14" x14ac:dyDescent="0.3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3">
      <c r="A332" s="237" t="str">
        <f>name!E$4</f>
        <v>Managers, directors and senior officials</v>
      </c>
      <c r="B332" s="302">
        <v>0.90154941179779713</v>
      </c>
      <c r="C332" s="302">
        <v>9.148232784183719</v>
      </c>
      <c r="D332" s="302">
        <f>SUM(B332:C332)</f>
        <v>10.049782195981516</v>
      </c>
      <c r="E332" s="303"/>
      <c r="F332" s="302">
        <v>1.2142067179436187</v>
      </c>
      <c r="G332" s="302">
        <v>9.8615412204568056</v>
      </c>
      <c r="H332" s="302">
        <f>SUM(F332:G332)</f>
        <v>11.075747938400424</v>
      </c>
      <c r="I332" s="303"/>
      <c r="J332" s="302">
        <v>1.178037907932294</v>
      </c>
      <c r="K332" s="302">
        <v>8.7572476020928143</v>
      </c>
      <c r="L332" s="302">
        <f>SUM(J332:K332)</f>
        <v>9.9352855100251087</v>
      </c>
      <c r="M332" s="236"/>
      <c r="N332" s="236"/>
    </row>
    <row r="333" spans="1:14" x14ac:dyDescent="0.3">
      <c r="A333" s="237" t="str">
        <f>name!E$5</f>
        <v>Professional occupations</v>
      </c>
      <c r="B333" s="302">
        <v>1.9275673743534989</v>
      </c>
      <c r="C333" s="302">
        <v>22.760356207442644</v>
      </c>
      <c r="D333" s="302">
        <f t="shared" ref="D333:D340" si="130">SUM(B333:C333)</f>
        <v>24.687923581796142</v>
      </c>
      <c r="E333" s="303"/>
      <c r="F333" s="302">
        <v>2.8272528074906575</v>
      </c>
      <c r="G333" s="302">
        <v>26.904124622241447</v>
      </c>
      <c r="H333" s="302">
        <f t="shared" ref="H333:H340" si="131">SUM(F333:G333)</f>
        <v>29.731377429732106</v>
      </c>
      <c r="I333" s="303"/>
      <c r="J333" s="302">
        <v>2.9946471381349475</v>
      </c>
      <c r="K333" s="302">
        <v>28.539543490330477</v>
      </c>
      <c r="L333" s="302">
        <f t="shared" ref="L333:L340" si="132">SUM(J333:K333)</f>
        <v>31.534190628465424</v>
      </c>
      <c r="M333" s="236"/>
      <c r="N333" s="236"/>
    </row>
    <row r="334" spans="1:14" x14ac:dyDescent="0.3">
      <c r="A334" s="237" t="str">
        <f>name!E$6</f>
        <v>Associate professional occupations</v>
      </c>
      <c r="B334" s="302">
        <v>2.4350094259721806</v>
      </c>
      <c r="C334" s="302">
        <v>8.1080540090163566</v>
      </c>
      <c r="D334" s="302">
        <f t="shared" si="130"/>
        <v>10.543063434988538</v>
      </c>
      <c r="E334" s="303"/>
      <c r="F334" s="302">
        <v>3.1284414214303968</v>
      </c>
      <c r="G334" s="302">
        <v>9.5460985667228453</v>
      </c>
      <c r="H334" s="302">
        <f t="shared" si="131"/>
        <v>12.674539988153242</v>
      </c>
      <c r="I334" s="303"/>
      <c r="J334" s="302">
        <v>2.8825171534374534</v>
      </c>
      <c r="K334" s="302">
        <v>7.6097664269589602</v>
      </c>
      <c r="L334" s="302">
        <f t="shared" si="132"/>
        <v>10.492283580396414</v>
      </c>
      <c r="M334" s="236"/>
      <c r="N334" s="236"/>
    </row>
    <row r="335" spans="1:14" x14ac:dyDescent="0.3">
      <c r="A335" s="237" t="str">
        <f>name!E$7</f>
        <v>Administrative and secretarial occupations</v>
      </c>
      <c r="B335" s="302">
        <v>5.3569104985181646</v>
      </c>
      <c r="C335" s="302">
        <v>5.1595052675655637</v>
      </c>
      <c r="D335" s="302">
        <f t="shared" si="130"/>
        <v>10.516415766083728</v>
      </c>
      <c r="E335" s="303"/>
      <c r="F335" s="302">
        <v>5.6461125021260603</v>
      </c>
      <c r="G335" s="302">
        <v>5.6310857511402155</v>
      </c>
      <c r="H335" s="302">
        <f t="shared" si="131"/>
        <v>11.277198253266276</v>
      </c>
      <c r="I335" s="303"/>
      <c r="J335" s="302">
        <v>4.2280204833910533</v>
      </c>
      <c r="K335" s="302">
        <v>5.1873725041273495</v>
      </c>
      <c r="L335" s="302">
        <f t="shared" si="132"/>
        <v>9.4153929875184019</v>
      </c>
      <c r="M335" s="236"/>
      <c r="N335" s="236"/>
    </row>
    <row r="336" spans="1:14" x14ac:dyDescent="0.3">
      <c r="A336" s="237" t="str">
        <f>name!E$8</f>
        <v>Skilled trades occupations</v>
      </c>
      <c r="B336" s="302">
        <v>0.85795627709997191</v>
      </c>
      <c r="C336" s="302">
        <v>35.514149740256784</v>
      </c>
      <c r="D336" s="302">
        <f t="shared" si="130"/>
        <v>36.372106017356757</v>
      </c>
      <c r="E336" s="303"/>
      <c r="F336" s="302">
        <v>1.0620875110212571</v>
      </c>
      <c r="G336" s="302">
        <v>28.716850500108315</v>
      </c>
      <c r="H336" s="302">
        <f t="shared" si="131"/>
        <v>29.778938011129572</v>
      </c>
      <c r="I336" s="303"/>
      <c r="J336" s="302">
        <v>2.0481961901236319</v>
      </c>
      <c r="K336" s="302">
        <v>21.748055900808858</v>
      </c>
      <c r="L336" s="302">
        <f t="shared" si="132"/>
        <v>23.796252090932491</v>
      </c>
      <c r="M336" s="236"/>
      <c r="N336" s="236"/>
    </row>
    <row r="337" spans="1:14" x14ac:dyDescent="0.3">
      <c r="A337" s="237" t="str">
        <f>name!E$9</f>
        <v>Caring, leisure and other service occupations</v>
      </c>
      <c r="B337" s="302">
        <v>0.82575799992296195</v>
      </c>
      <c r="C337" s="302">
        <v>1.036384487750271</v>
      </c>
      <c r="D337" s="302">
        <f t="shared" si="130"/>
        <v>1.8621424876732329</v>
      </c>
      <c r="E337" s="303"/>
      <c r="F337" s="302">
        <v>0.79804861615762934</v>
      </c>
      <c r="G337" s="302">
        <v>1.3954176680104728</v>
      </c>
      <c r="H337" s="302">
        <f t="shared" si="131"/>
        <v>2.1934662841681023</v>
      </c>
      <c r="I337" s="303"/>
      <c r="J337" s="302">
        <v>0.69876965727500862</v>
      </c>
      <c r="K337" s="302">
        <v>1.8232783855174257</v>
      </c>
      <c r="L337" s="302">
        <f t="shared" si="132"/>
        <v>2.5220480427924343</v>
      </c>
      <c r="M337" s="236"/>
      <c r="N337" s="236"/>
    </row>
    <row r="338" spans="1:14" x14ac:dyDescent="0.3">
      <c r="A338" s="237" t="str">
        <f>name!E$10</f>
        <v>Sales and customer service occupations</v>
      </c>
      <c r="B338" s="302">
        <v>0.75755916577023075</v>
      </c>
      <c r="C338" s="302">
        <v>2.3420946101839837</v>
      </c>
      <c r="D338" s="302">
        <f t="shared" si="130"/>
        <v>3.0996537759542147</v>
      </c>
      <c r="E338" s="303"/>
      <c r="F338" s="302">
        <v>0.84393104275426256</v>
      </c>
      <c r="G338" s="302">
        <v>2.2601325105311485</v>
      </c>
      <c r="H338" s="302">
        <f t="shared" si="131"/>
        <v>3.1040635532854113</v>
      </c>
      <c r="I338" s="303"/>
      <c r="J338" s="302">
        <v>0.83837557144584529</v>
      </c>
      <c r="K338" s="302">
        <v>2.3042535085329408</v>
      </c>
      <c r="L338" s="302">
        <f t="shared" si="132"/>
        <v>3.1426290799787862</v>
      </c>
      <c r="M338" s="236"/>
      <c r="N338" s="236"/>
    </row>
    <row r="339" spans="1:14" x14ac:dyDescent="0.3">
      <c r="A339" s="237" t="str">
        <f>name!E$11</f>
        <v>Process, plant and machine operatives</v>
      </c>
      <c r="B339" s="302">
        <v>3.1010535000059991</v>
      </c>
      <c r="C339" s="302">
        <v>28.664570313853684</v>
      </c>
      <c r="D339" s="302">
        <f t="shared" si="130"/>
        <v>31.765623813859683</v>
      </c>
      <c r="E339" s="303"/>
      <c r="F339" s="302">
        <v>2.5597960549784182</v>
      </c>
      <c r="G339" s="302">
        <v>22.586089512598235</v>
      </c>
      <c r="H339" s="302">
        <f t="shared" si="131"/>
        <v>25.145885567576652</v>
      </c>
      <c r="I339" s="303"/>
      <c r="J339" s="302">
        <v>3.0724907095336635</v>
      </c>
      <c r="K339" s="302">
        <v>22.975420398214599</v>
      </c>
      <c r="L339" s="302">
        <f t="shared" si="132"/>
        <v>26.047911107748263</v>
      </c>
      <c r="M339" s="236"/>
      <c r="N339" s="236"/>
    </row>
    <row r="340" spans="1:14" x14ac:dyDescent="0.3">
      <c r="A340" s="237" t="str">
        <f>name!E$12</f>
        <v>Elementary occupations</v>
      </c>
      <c r="B340" s="302">
        <v>0.75063634651714017</v>
      </c>
      <c r="C340" s="302">
        <v>5.9356525796321149</v>
      </c>
      <c r="D340" s="302">
        <f t="shared" si="130"/>
        <v>6.6862889261492553</v>
      </c>
      <c r="E340" s="303"/>
      <c r="F340" s="302">
        <v>0.6411233259991741</v>
      </c>
      <c r="G340" s="302">
        <v>4.6936596477519057</v>
      </c>
      <c r="H340" s="302">
        <f t="shared" si="131"/>
        <v>5.3347829737510795</v>
      </c>
      <c r="I340" s="303"/>
      <c r="J340" s="302">
        <v>0.36394518872619663</v>
      </c>
      <c r="K340" s="302">
        <v>2.8160617831945856</v>
      </c>
      <c r="L340" s="302">
        <f t="shared" si="132"/>
        <v>3.1800069719207822</v>
      </c>
      <c r="M340" s="236"/>
      <c r="N340" s="236"/>
    </row>
    <row r="341" spans="1:14" x14ac:dyDescent="0.3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3">
      <c r="A342" s="244" t="s">
        <v>32</v>
      </c>
      <c r="B342" s="311">
        <f>SUM(B332:B340)</f>
        <v>16.913999999957944</v>
      </c>
      <c r="C342" s="311">
        <f t="shared" ref="C342:D342" si="133">SUM(C332:C340)</f>
        <v>118.66899999988512</v>
      </c>
      <c r="D342" s="311">
        <f t="shared" si="133"/>
        <v>135.58299999984305</v>
      </c>
      <c r="E342" s="311"/>
      <c r="F342" s="311">
        <f t="shared" ref="F342:H342" si="134">SUM(F332:F340)</f>
        <v>18.720999999901476</v>
      </c>
      <c r="G342" s="311">
        <f t="shared" si="134"/>
        <v>111.5949999995614</v>
      </c>
      <c r="H342" s="311">
        <f t="shared" si="134"/>
        <v>130.31599999946286</v>
      </c>
      <c r="I342" s="311"/>
      <c r="J342" s="311">
        <f t="shared" ref="J342:L342" si="135">SUM(J332:J340)</f>
        <v>18.305000000000092</v>
      </c>
      <c r="K342" s="311">
        <f t="shared" si="135"/>
        <v>101.76099999977801</v>
      </c>
      <c r="L342" s="311">
        <f t="shared" si="135"/>
        <v>120.0659999997781</v>
      </c>
      <c r="M342" s="236"/>
      <c r="N342" s="236"/>
    </row>
    <row r="343" spans="1:14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3">
      <c r="A346" s="241" t="str">
        <f>name!A23</f>
        <v>Other transport equipment</v>
      </c>
      <c r="B346" s="373">
        <f>B$6</f>
        <v>2015</v>
      </c>
      <c r="C346" s="373"/>
      <c r="D346" s="373"/>
      <c r="E346" s="253"/>
      <c r="F346" s="373">
        <f>F329</f>
        <v>2020</v>
      </c>
      <c r="G346" s="373"/>
      <c r="H346" s="373"/>
      <c r="I346" s="253"/>
      <c r="J346" s="373">
        <f>J329</f>
        <v>2035</v>
      </c>
      <c r="K346" s="373"/>
      <c r="L346" s="373"/>
      <c r="M346" s="236"/>
      <c r="N346" s="236"/>
    </row>
    <row r="347" spans="1:14" x14ac:dyDescent="0.3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3">
      <c r="A349" s="237" t="str">
        <f>name!E$4</f>
        <v>Managers, directors and senior officials</v>
      </c>
      <c r="B349" s="302">
        <v>1.043166083113632</v>
      </c>
      <c r="C349" s="302">
        <v>8.9661248631602373</v>
      </c>
      <c r="D349" s="302">
        <f>SUM(B349:C349)</f>
        <v>10.00929094627387</v>
      </c>
      <c r="E349" s="303"/>
      <c r="F349" s="302">
        <v>1.6143934428878952</v>
      </c>
      <c r="G349" s="302">
        <v>10.205788872838585</v>
      </c>
      <c r="H349" s="302">
        <f>SUM(F349:G349)</f>
        <v>11.82018231572648</v>
      </c>
      <c r="I349" s="303"/>
      <c r="J349" s="302">
        <v>1.5555807729311815</v>
      </c>
      <c r="K349" s="302">
        <v>8.5305965107474861</v>
      </c>
      <c r="L349" s="302">
        <f>SUM(J349:K349)</f>
        <v>10.086177283678667</v>
      </c>
      <c r="M349" s="236"/>
      <c r="N349" s="236"/>
    </row>
    <row r="350" spans="1:14" x14ac:dyDescent="0.3">
      <c r="A350" s="237" t="str">
        <f>name!E$5</f>
        <v>Professional occupations</v>
      </c>
      <c r="B350" s="302">
        <v>2.3097591692233927</v>
      </c>
      <c r="C350" s="302">
        <v>27.650025870099878</v>
      </c>
      <c r="D350" s="302">
        <f t="shared" ref="D350:D357" si="136">SUM(B350:C350)</f>
        <v>29.959785039323272</v>
      </c>
      <c r="E350" s="303"/>
      <c r="F350" s="302">
        <v>3.7552556129091816</v>
      </c>
      <c r="G350" s="302">
        <v>33.407177832302835</v>
      </c>
      <c r="H350" s="302">
        <f t="shared" ref="H350:H357" si="137">SUM(F350:G350)</f>
        <v>37.162433445212017</v>
      </c>
      <c r="I350" s="303"/>
      <c r="J350" s="302">
        <v>3.594511566878773</v>
      </c>
      <c r="K350" s="302">
        <v>31.869002226977404</v>
      </c>
      <c r="L350" s="302">
        <f t="shared" ref="L350:L357" si="138">SUM(J350:K350)</f>
        <v>35.46351379385618</v>
      </c>
      <c r="M350" s="236"/>
      <c r="N350" s="236"/>
    </row>
    <row r="351" spans="1:14" x14ac:dyDescent="0.3">
      <c r="A351" s="237" t="str">
        <f>name!E$6</f>
        <v>Associate professional occupations</v>
      </c>
      <c r="B351" s="302">
        <v>1.9916399625344934</v>
      </c>
      <c r="C351" s="302">
        <v>9.7301647092118344</v>
      </c>
      <c r="D351" s="302">
        <f t="shared" si="136"/>
        <v>11.721804671746328</v>
      </c>
      <c r="E351" s="303"/>
      <c r="F351" s="302">
        <v>2.7760657053750495</v>
      </c>
      <c r="G351" s="302">
        <v>11.659330488727825</v>
      </c>
      <c r="H351" s="302">
        <f t="shared" si="137"/>
        <v>14.435396194102875</v>
      </c>
      <c r="I351" s="303"/>
      <c r="J351" s="302">
        <v>2.3951492951735198</v>
      </c>
      <c r="K351" s="302">
        <v>8.8715299328842825</v>
      </c>
      <c r="L351" s="302">
        <f t="shared" si="138"/>
        <v>11.266679228057802</v>
      </c>
      <c r="M351" s="236"/>
      <c r="N351" s="236"/>
    </row>
    <row r="352" spans="1:14" x14ac:dyDescent="0.3">
      <c r="A352" s="237" t="str">
        <f>name!E$7</f>
        <v>Administrative and secretarial occupations</v>
      </c>
      <c r="B352" s="302">
        <v>5.2777993250998012</v>
      </c>
      <c r="C352" s="302">
        <v>3.0687764319773567</v>
      </c>
      <c r="D352" s="302">
        <f t="shared" si="136"/>
        <v>8.3465757570771579</v>
      </c>
      <c r="E352" s="303"/>
      <c r="F352" s="302">
        <v>6.5394623572148918</v>
      </c>
      <c r="G352" s="302">
        <v>3.3890540901969439</v>
      </c>
      <c r="H352" s="302">
        <f t="shared" si="137"/>
        <v>9.9285164474118357</v>
      </c>
      <c r="I352" s="303"/>
      <c r="J352" s="302">
        <v>5.8762562448572897</v>
      </c>
      <c r="K352" s="302">
        <v>2.8007020804251819</v>
      </c>
      <c r="L352" s="302">
        <f t="shared" si="138"/>
        <v>8.676958325282472</v>
      </c>
      <c r="M352" s="236"/>
      <c r="N352" s="236"/>
    </row>
    <row r="353" spans="1:14" x14ac:dyDescent="0.3">
      <c r="A353" s="237" t="str">
        <f>name!E$8</f>
        <v>Skilled trades occupations</v>
      </c>
      <c r="B353" s="302">
        <v>0.76652391377932061</v>
      </c>
      <c r="C353" s="302">
        <v>36.619686416687962</v>
      </c>
      <c r="D353" s="302">
        <f t="shared" si="136"/>
        <v>37.386210330467286</v>
      </c>
      <c r="E353" s="303"/>
      <c r="F353" s="302">
        <v>1.0141465452308966</v>
      </c>
      <c r="G353" s="302">
        <v>30.930126204029307</v>
      </c>
      <c r="H353" s="302">
        <f t="shared" si="137"/>
        <v>31.944272749260204</v>
      </c>
      <c r="I353" s="303"/>
      <c r="J353" s="302">
        <v>1.869949332722642</v>
      </c>
      <c r="K353" s="302">
        <v>21.383679817213025</v>
      </c>
      <c r="L353" s="302">
        <f t="shared" si="138"/>
        <v>23.253629149935666</v>
      </c>
      <c r="M353" s="236"/>
      <c r="N353" s="236"/>
    </row>
    <row r="354" spans="1:14" x14ac:dyDescent="0.3">
      <c r="A354" s="237" t="str">
        <f>name!E$9</f>
        <v>Caring, leisure and other service occupations</v>
      </c>
      <c r="B354" s="302">
        <v>0.20761604797793995</v>
      </c>
      <c r="C354" s="302">
        <v>0.19656462451817741</v>
      </c>
      <c r="D354" s="302">
        <f t="shared" si="136"/>
        <v>0.40418067249611733</v>
      </c>
      <c r="E354" s="303"/>
      <c r="F354" s="302">
        <v>0.23904746746936148</v>
      </c>
      <c r="G354" s="302">
        <v>0.25033120412335103</v>
      </c>
      <c r="H354" s="302">
        <f t="shared" si="137"/>
        <v>0.48937867159271253</v>
      </c>
      <c r="I354" s="303"/>
      <c r="J354" s="302">
        <v>0.1977303681999403</v>
      </c>
      <c r="K354" s="302">
        <v>0.25701025280123152</v>
      </c>
      <c r="L354" s="302">
        <f t="shared" si="138"/>
        <v>0.45474062100117185</v>
      </c>
      <c r="M354" s="236"/>
      <c r="N354" s="236"/>
    </row>
    <row r="355" spans="1:14" x14ac:dyDescent="0.3">
      <c r="A355" s="237" t="str">
        <f>name!E$10</f>
        <v>Sales and customer service occupations</v>
      </c>
      <c r="B355" s="302">
        <v>0.66482244719451822</v>
      </c>
      <c r="C355" s="302">
        <v>1.0139445569946961</v>
      </c>
      <c r="D355" s="302">
        <f t="shared" si="136"/>
        <v>1.6787670041892144</v>
      </c>
      <c r="E355" s="303"/>
      <c r="F355" s="302">
        <v>0.89910111832072948</v>
      </c>
      <c r="G355" s="302">
        <v>1.2503792564469227</v>
      </c>
      <c r="H355" s="302">
        <f t="shared" si="137"/>
        <v>2.1494803747676521</v>
      </c>
      <c r="I355" s="303"/>
      <c r="J355" s="302">
        <v>0.93843829984059091</v>
      </c>
      <c r="K355" s="302">
        <v>1.2989101663454121</v>
      </c>
      <c r="L355" s="302">
        <f t="shared" si="138"/>
        <v>2.237348466186003</v>
      </c>
      <c r="M355" s="236"/>
      <c r="N355" s="236"/>
    </row>
    <row r="356" spans="1:14" x14ac:dyDescent="0.3">
      <c r="A356" s="237" t="str">
        <f>name!E$11</f>
        <v>Process, plant and machine operatives</v>
      </c>
      <c r="B356" s="302">
        <v>0.68816790663326421</v>
      </c>
      <c r="C356" s="302">
        <v>11.343994453829794</v>
      </c>
      <c r="D356" s="302">
        <f t="shared" si="136"/>
        <v>12.032162360463058</v>
      </c>
      <c r="E356" s="303"/>
      <c r="F356" s="302">
        <v>0.61337195440046766</v>
      </c>
      <c r="G356" s="302">
        <v>9.2153373321228962</v>
      </c>
      <c r="H356" s="302">
        <f t="shared" si="137"/>
        <v>9.8287092865233632</v>
      </c>
      <c r="I356" s="303"/>
      <c r="J356" s="302">
        <v>0.65525006140514697</v>
      </c>
      <c r="K356" s="302">
        <v>9.0443948438522135</v>
      </c>
      <c r="L356" s="302">
        <f t="shared" si="138"/>
        <v>9.6996449052573599</v>
      </c>
      <c r="M356" s="236"/>
      <c r="N356" s="236"/>
    </row>
    <row r="357" spans="1:14" x14ac:dyDescent="0.3">
      <c r="A357" s="237" t="str">
        <f>name!E$12</f>
        <v>Elementary occupations</v>
      </c>
      <c r="B357" s="302">
        <v>0.44350514434747917</v>
      </c>
      <c r="C357" s="302">
        <v>2.1407180731327391</v>
      </c>
      <c r="D357" s="302">
        <f t="shared" si="136"/>
        <v>2.5842232174802184</v>
      </c>
      <c r="E357" s="303"/>
      <c r="F357" s="302">
        <v>0.50015579608893801</v>
      </c>
      <c r="G357" s="302">
        <v>1.7934747188895113</v>
      </c>
      <c r="H357" s="302">
        <f t="shared" si="137"/>
        <v>2.2936305149784495</v>
      </c>
      <c r="I357" s="303"/>
      <c r="J357" s="302">
        <v>0.39613405800706314</v>
      </c>
      <c r="K357" s="302">
        <v>1.0461741686595507</v>
      </c>
      <c r="L357" s="302">
        <f t="shared" si="138"/>
        <v>1.4423082266666138</v>
      </c>
      <c r="M357" s="236"/>
      <c r="N357" s="236"/>
    </row>
    <row r="358" spans="1:14" x14ac:dyDescent="0.3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3">
      <c r="A359" s="244" t="s">
        <v>32</v>
      </c>
      <c r="B359" s="311">
        <f>SUM(B349:B357)</f>
        <v>13.392999999903841</v>
      </c>
      <c r="C359" s="311">
        <f t="shared" ref="C359:D359" si="139">SUM(C349:C357)</f>
        <v>100.72999999961267</v>
      </c>
      <c r="D359" s="311">
        <f t="shared" si="139"/>
        <v>114.12299999951652</v>
      </c>
      <c r="E359" s="311"/>
      <c r="F359" s="311">
        <f t="shared" ref="F359:H359" si="140">SUM(F349:F357)</f>
        <v>17.950999999897409</v>
      </c>
      <c r="G359" s="311">
        <f t="shared" si="140"/>
        <v>102.10099999967818</v>
      </c>
      <c r="H359" s="311">
        <f t="shared" si="140"/>
        <v>120.0519999995756</v>
      </c>
      <c r="I359" s="311"/>
      <c r="J359" s="311">
        <f t="shared" ref="J359:L359" si="141">SUM(J349:J357)</f>
        <v>17.47900000001615</v>
      </c>
      <c r="K359" s="311">
        <f t="shared" si="141"/>
        <v>85.101999999905786</v>
      </c>
      <c r="L359" s="311">
        <f t="shared" si="141"/>
        <v>102.58099999992194</v>
      </c>
      <c r="M359" s="236"/>
      <c r="N359" s="236"/>
    </row>
    <row r="360" spans="1:14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3">
      <c r="A363" s="241" t="str">
        <f>name!A24</f>
        <v>Furniture</v>
      </c>
      <c r="B363" s="373">
        <f>B$6</f>
        <v>2015</v>
      </c>
      <c r="C363" s="373"/>
      <c r="D363" s="373"/>
      <c r="E363" s="253"/>
      <c r="F363" s="373">
        <f>F346</f>
        <v>2020</v>
      </c>
      <c r="G363" s="373"/>
      <c r="H363" s="373"/>
      <c r="I363" s="253"/>
      <c r="J363" s="373">
        <f>J346</f>
        <v>2035</v>
      </c>
      <c r="K363" s="373"/>
      <c r="L363" s="373"/>
      <c r="M363" s="236"/>
      <c r="N363" s="236"/>
    </row>
    <row r="364" spans="1:14" x14ac:dyDescent="0.3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3">
      <c r="A366" s="237" t="str">
        <f>name!E$4</f>
        <v>Managers, directors and senior officials</v>
      </c>
      <c r="B366" s="302">
        <v>1.2982595344616819</v>
      </c>
      <c r="C366" s="302">
        <v>6.1257101837088967</v>
      </c>
      <c r="D366" s="302">
        <f>SUM(B366:C366)</f>
        <v>7.4239697181705786</v>
      </c>
      <c r="E366" s="303"/>
      <c r="F366" s="302">
        <v>2.1152616148662395</v>
      </c>
      <c r="G366" s="302">
        <v>7.4851697010381617</v>
      </c>
      <c r="H366" s="302">
        <f>SUM(F366:G366)</f>
        <v>9.6004313159044017</v>
      </c>
      <c r="I366" s="303"/>
      <c r="J366" s="302">
        <v>1.8697850786849004</v>
      </c>
      <c r="K366" s="302">
        <v>6.3274338794172875</v>
      </c>
      <c r="L366" s="302">
        <f>SUM(J366:K366)</f>
        <v>8.1972189581021873</v>
      </c>
      <c r="M366" s="236"/>
      <c r="N366" s="236"/>
    </row>
    <row r="367" spans="1:14" x14ac:dyDescent="0.3">
      <c r="A367" s="237" t="str">
        <f>name!E$5</f>
        <v>Professional occupations</v>
      </c>
      <c r="B367" s="302">
        <v>1.3678551258839247</v>
      </c>
      <c r="C367" s="302">
        <v>4.6302247984405787</v>
      </c>
      <c r="D367" s="302">
        <f t="shared" ref="D367:D374" si="142">SUM(B367:C367)</f>
        <v>5.9980799243245038</v>
      </c>
      <c r="E367" s="303"/>
      <c r="F367" s="302">
        <v>2.4516143115135303</v>
      </c>
      <c r="G367" s="302">
        <v>6.8382759839847873</v>
      </c>
      <c r="H367" s="302">
        <f t="shared" ref="H367:H374" si="143">SUM(F367:G367)</f>
        <v>9.2898902954983171</v>
      </c>
      <c r="I367" s="303"/>
      <c r="J367" s="302">
        <v>2.3102559776939087</v>
      </c>
      <c r="K367" s="302">
        <v>6.8259968474312194</v>
      </c>
      <c r="L367" s="302">
        <f t="shared" ref="L367:L374" si="144">SUM(J367:K367)</f>
        <v>9.136252825125128</v>
      </c>
      <c r="M367" s="236"/>
      <c r="N367" s="236"/>
    </row>
    <row r="368" spans="1:14" x14ac:dyDescent="0.3">
      <c r="A368" s="237" t="str">
        <f>name!E$6</f>
        <v>Associate professional occupations</v>
      </c>
      <c r="B368" s="302">
        <v>1.6777216566401416</v>
      </c>
      <c r="C368" s="302">
        <v>4.1018169335144883</v>
      </c>
      <c r="D368" s="302">
        <f t="shared" si="142"/>
        <v>5.7795385901546297</v>
      </c>
      <c r="E368" s="303"/>
      <c r="F368" s="302">
        <v>2.3485542020474797</v>
      </c>
      <c r="G368" s="302">
        <v>5.6787975422171764</v>
      </c>
      <c r="H368" s="302">
        <f t="shared" si="143"/>
        <v>8.0273517442646565</v>
      </c>
      <c r="I368" s="303"/>
      <c r="J368" s="302">
        <v>1.8901731541196158</v>
      </c>
      <c r="K368" s="302">
        <v>4.5696432406956067</v>
      </c>
      <c r="L368" s="302">
        <f t="shared" si="144"/>
        <v>6.4598163948152223</v>
      </c>
      <c r="M368" s="236"/>
      <c r="N368" s="236"/>
    </row>
    <row r="369" spans="1:14" x14ac:dyDescent="0.3">
      <c r="A369" s="237" t="str">
        <f>name!E$7</f>
        <v>Administrative and secretarial occupations</v>
      </c>
      <c r="B369" s="302">
        <v>3.6761941890307566</v>
      </c>
      <c r="C369" s="302">
        <v>3.0558974608880938</v>
      </c>
      <c r="D369" s="302">
        <f t="shared" si="142"/>
        <v>6.7320916499188499</v>
      </c>
      <c r="E369" s="303"/>
      <c r="F369" s="302">
        <v>4.5497400490264095</v>
      </c>
      <c r="G369" s="302">
        <v>4.0139136840896734</v>
      </c>
      <c r="H369" s="302">
        <f t="shared" si="143"/>
        <v>8.5636537331160838</v>
      </c>
      <c r="I369" s="303"/>
      <c r="J369" s="302">
        <v>2.7125519434234482</v>
      </c>
      <c r="K369" s="302">
        <v>3.4395945439569759</v>
      </c>
      <c r="L369" s="302">
        <f t="shared" si="144"/>
        <v>6.1521464873804241</v>
      </c>
      <c r="M369" s="236"/>
      <c r="N369" s="236"/>
    </row>
    <row r="370" spans="1:14" x14ac:dyDescent="0.3">
      <c r="A370" s="237" t="str">
        <f>name!E$8</f>
        <v>Skilled trades occupations</v>
      </c>
      <c r="B370" s="302">
        <v>2.3696247315144214</v>
      </c>
      <c r="C370" s="302">
        <v>31.845532432212742</v>
      </c>
      <c r="D370" s="302">
        <f t="shared" si="142"/>
        <v>34.215157163727163</v>
      </c>
      <c r="E370" s="303"/>
      <c r="F370" s="302">
        <v>2.3687213026712906</v>
      </c>
      <c r="G370" s="302">
        <v>26.055681282328621</v>
      </c>
      <c r="H370" s="302">
        <f t="shared" si="143"/>
        <v>28.42440258499991</v>
      </c>
      <c r="I370" s="303"/>
      <c r="J370" s="302">
        <v>2.184725874814049</v>
      </c>
      <c r="K370" s="302">
        <v>19.407162938896104</v>
      </c>
      <c r="L370" s="302">
        <f t="shared" si="144"/>
        <v>21.591888813710153</v>
      </c>
      <c r="M370" s="236"/>
      <c r="N370" s="236"/>
    </row>
    <row r="371" spans="1:14" x14ac:dyDescent="0.3">
      <c r="A371" s="237" t="str">
        <f>name!E$9</f>
        <v>Caring, leisure and other service occupations</v>
      </c>
      <c r="B371" s="302">
        <v>0.26567731882786683</v>
      </c>
      <c r="C371" s="302">
        <v>0.16097386466043234</v>
      </c>
      <c r="D371" s="302">
        <f t="shared" si="142"/>
        <v>0.42665118348829917</v>
      </c>
      <c r="E371" s="303"/>
      <c r="F371" s="302">
        <v>0.34698916769446098</v>
      </c>
      <c r="G371" s="302">
        <v>0.33868320200241125</v>
      </c>
      <c r="H371" s="302">
        <f t="shared" si="143"/>
        <v>0.68567236969687229</v>
      </c>
      <c r="I371" s="303"/>
      <c r="J371" s="302">
        <v>0.24485534848063356</v>
      </c>
      <c r="K371" s="302">
        <v>0.34330316630782154</v>
      </c>
      <c r="L371" s="302">
        <f t="shared" si="144"/>
        <v>0.58815851478845516</v>
      </c>
      <c r="M371" s="236"/>
      <c r="N371" s="236"/>
    </row>
    <row r="372" spans="1:14" x14ac:dyDescent="0.3">
      <c r="A372" s="237" t="str">
        <f>name!E$10</f>
        <v>Sales and customer service occupations</v>
      </c>
      <c r="B372" s="302">
        <v>1.0222937035414146</v>
      </c>
      <c r="C372" s="302">
        <v>2.4091814860134493</v>
      </c>
      <c r="D372" s="302">
        <f t="shared" si="142"/>
        <v>3.4314751895548641</v>
      </c>
      <c r="E372" s="303"/>
      <c r="F372" s="302">
        <v>1.282909203542856</v>
      </c>
      <c r="G372" s="302">
        <v>2.9526455414467732</v>
      </c>
      <c r="H372" s="302">
        <f t="shared" si="143"/>
        <v>4.2355547449896296</v>
      </c>
      <c r="I372" s="303"/>
      <c r="J372" s="302">
        <v>1.0130780277928191</v>
      </c>
      <c r="K372" s="302">
        <v>2.7766190141094542</v>
      </c>
      <c r="L372" s="302">
        <f t="shared" si="144"/>
        <v>3.7896970419022731</v>
      </c>
      <c r="M372" s="236"/>
      <c r="N372" s="236"/>
    </row>
    <row r="373" spans="1:14" x14ac:dyDescent="0.3">
      <c r="A373" s="237" t="str">
        <f>name!E$11</f>
        <v>Process, plant and machine operatives</v>
      </c>
      <c r="B373" s="302">
        <v>2.3143134712276945</v>
      </c>
      <c r="C373" s="302">
        <v>10.754361052519815</v>
      </c>
      <c r="D373" s="302">
        <f t="shared" si="142"/>
        <v>13.068674523747511</v>
      </c>
      <c r="E373" s="303"/>
      <c r="F373" s="302">
        <v>2.5758669038165669</v>
      </c>
      <c r="G373" s="302">
        <v>10.28095719161024</v>
      </c>
      <c r="H373" s="302">
        <f t="shared" si="143"/>
        <v>12.856824095426806</v>
      </c>
      <c r="I373" s="303"/>
      <c r="J373" s="302">
        <v>2.8887642912884717</v>
      </c>
      <c r="K373" s="302">
        <v>9.8864670806947466</v>
      </c>
      <c r="L373" s="302">
        <f t="shared" si="144"/>
        <v>12.775231371983217</v>
      </c>
      <c r="M373" s="236"/>
      <c r="N373" s="236"/>
    </row>
    <row r="374" spans="1:14" x14ac:dyDescent="0.3">
      <c r="A374" s="237" t="str">
        <f>name!E$12</f>
        <v>Elementary occupations</v>
      </c>
      <c r="B374" s="302">
        <v>0.94806026890863226</v>
      </c>
      <c r="C374" s="302">
        <v>4.4023017879715658</v>
      </c>
      <c r="D374" s="302">
        <f t="shared" si="142"/>
        <v>5.3503620568801979</v>
      </c>
      <c r="E374" s="303"/>
      <c r="F374" s="302">
        <v>0.79134324472603379</v>
      </c>
      <c r="G374" s="302">
        <v>4.6158758713520562</v>
      </c>
      <c r="H374" s="302">
        <f t="shared" si="143"/>
        <v>5.4072191160780898</v>
      </c>
      <c r="I374" s="303"/>
      <c r="J374" s="302">
        <v>0.4598103037199594</v>
      </c>
      <c r="K374" s="302">
        <v>2.7777792885596964</v>
      </c>
      <c r="L374" s="302">
        <f t="shared" si="144"/>
        <v>3.2375895922796558</v>
      </c>
      <c r="M374" s="236"/>
      <c r="N374" s="236"/>
    </row>
    <row r="375" spans="1:14" x14ac:dyDescent="0.3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3">
      <c r="A376" s="244" t="s">
        <v>32</v>
      </c>
      <c r="B376" s="311">
        <f>SUM(B366:B374)</f>
        <v>14.940000000036536</v>
      </c>
      <c r="C376" s="311">
        <f t="shared" ref="C376:D376" si="145">SUM(C366:C374)</f>
        <v>67.485999999930073</v>
      </c>
      <c r="D376" s="311">
        <f t="shared" si="145"/>
        <v>82.425999999966606</v>
      </c>
      <c r="E376" s="311"/>
      <c r="F376" s="311">
        <f t="shared" ref="F376:H376" si="146">SUM(F366:F374)</f>
        <v>18.830999999904869</v>
      </c>
      <c r="G376" s="311">
        <f t="shared" si="146"/>
        <v>68.260000000069908</v>
      </c>
      <c r="H376" s="311">
        <f t="shared" si="146"/>
        <v>87.09099999997477</v>
      </c>
      <c r="I376" s="311"/>
      <c r="J376" s="311">
        <f t="shared" ref="J376:L376" si="147">SUM(J366:J374)</f>
        <v>15.574000000017804</v>
      </c>
      <c r="K376" s="311">
        <f t="shared" si="147"/>
        <v>56.354000000068908</v>
      </c>
      <c r="L376" s="311">
        <f t="shared" si="147"/>
        <v>71.928000000086726</v>
      </c>
      <c r="M376" s="236"/>
      <c r="N376" s="236"/>
    </row>
    <row r="377" spans="1:14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3">
      <c r="A380" s="241" t="str">
        <f>name!A25</f>
        <v>Other manufacturing</v>
      </c>
      <c r="B380" s="373">
        <f>B$6</f>
        <v>2015</v>
      </c>
      <c r="C380" s="373"/>
      <c r="D380" s="373"/>
      <c r="E380" s="253"/>
      <c r="F380" s="373">
        <f>F363</f>
        <v>2020</v>
      </c>
      <c r="G380" s="373"/>
      <c r="H380" s="373"/>
      <c r="I380" s="253"/>
      <c r="J380" s="373">
        <f>J363</f>
        <v>2035</v>
      </c>
      <c r="K380" s="373"/>
      <c r="L380" s="373"/>
      <c r="M380" s="236"/>
      <c r="N380" s="236"/>
    </row>
    <row r="381" spans="1:14" x14ac:dyDescent="0.3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3">
      <c r="A383" s="237" t="str">
        <f>name!E$4</f>
        <v>Managers, directors and senior officials</v>
      </c>
      <c r="B383" s="302">
        <v>3.3935619844867166</v>
      </c>
      <c r="C383" s="302">
        <v>5.7570925822420156</v>
      </c>
      <c r="D383" s="302">
        <f>SUM(B383:C383)</f>
        <v>9.1506545667287327</v>
      </c>
      <c r="E383" s="303"/>
      <c r="F383" s="302">
        <v>4.5663009603573039</v>
      </c>
      <c r="G383" s="302">
        <v>7.077154884597717</v>
      </c>
      <c r="H383" s="302">
        <f>SUM(F383:G383)</f>
        <v>11.643455844955021</v>
      </c>
      <c r="I383" s="303"/>
      <c r="J383" s="302">
        <v>3.9559874831518909</v>
      </c>
      <c r="K383" s="302">
        <v>6.0344161176852422</v>
      </c>
      <c r="L383" s="302">
        <f>SUM(J383:K383)</f>
        <v>9.9904036008371335</v>
      </c>
      <c r="M383" s="236"/>
      <c r="N383" s="236"/>
    </row>
    <row r="384" spans="1:14" x14ac:dyDescent="0.3">
      <c r="A384" s="237" t="str">
        <f>name!E$5</f>
        <v>Professional occupations</v>
      </c>
      <c r="B384" s="302">
        <v>3.8262532452778615</v>
      </c>
      <c r="C384" s="302">
        <v>5.4873818940953063</v>
      </c>
      <c r="D384" s="302">
        <f t="shared" ref="D384:D391" si="148">SUM(B384:C384)</f>
        <v>9.3136351393731687</v>
      </c>
      <c r="E384" s="303"/>
      <c r="F384" s="302">
        <v>5.7430605536754813</v>
      </c>
      <c r="G384" s="302">
        <v>7.7483669189683289</v>
      </c>
      <c r="H384" s="302">
        <f t="shared" ref="H384:H391" si="149">SUM(F384:G384)</f>
        <v>13.49142747264381</v>
      </c>
      <c r="I384" s="303"/>
      <c r="J384" s="302">
        <v>5.2123096541501557</v>
      </c>
      <c r="K384" s="302">
        <v>7.9941690710039897</v>
      </c>
      <c r="L384" s="302">
        <f t="shared" ref="L384:L391" si="150">SUM(J384:K384)</f>
        <v>13.206478725154145</v>
      </c>
      <c r="M384" s="236"/>
      <c r="N384" s="236"/>
    </row>
    <row r="385" spans="1:14" x14ac:dyDescent="0.3">
      <c r="A385" s="237" t="str">
        <f>name!E$6</f>
        <v>Associate professional occupations</v>
      </c>
      <c r="B385" s="302">
        <v>4.4021148264727268</v>
      </c>
      <c r="C385" s="302">
        <v>4.2359597245482981</v>
      </c>
      <c r="D385" s="302">
        <f t="shared" si="148"/>
        <v>8.638074551021024</v>
      </c>
      <c r="E385" s="303"/>
      <c r="F385" s="302">
        <v>5.3615490171350544</v>
      </c>
      <c r="G385" s="302">
        <v>5.4182781831031592</v>
      </c>
      <c r="H385" s="302">
        <f t="shared" si="149"/>
        <v>10.779827200238213</v>
      </c>
      <c r="I385" s="303"/>
      <c r="J385" s="302">
        <v>4.2324816168329304</v>
      </c>
      <c r="K385" s="302">
        <v>4.3675416814916481</v>
      </c>
      <c r="L385" s="302">
        <f t="shared" si="150"/>
        <v>8.6000232983245795</v>
      </c>
      <c r="M385" s="236"/>
      <c r="N385" s="236"/>
    </row>
    <row r="386" spans="1:14" x14ac:dyDescent="0.3">
      <c r="A386" s="237" t="str">
        <f>name!E$7</f>
        <v>Administrative and secretarial occupations</v>
      </c>
      <c r="B386" s="302">
        <v>7.9621849939181413</v>
      </c>
      <c r="C386" s="302">
        <v>2.1377608621879545</v>
      </c>
      <c r="D386" s="302">
        <f t="shared" si="148"/>
        <v>10.099945856106096</v>
      </c>
      <c r="E386" s="303"/>
      <c r="F386" s="302">
        <v>7.9701174692645669</v>
      </c>
      <c r="G386" s="302">
        <v>2.6732752795556829</v>
      </c>
      <c r="H386" s="302">
        <f t="shared" si="149"/>
        <v>10.643392748820251</v>
      </c>
      <c r="I386" s="303"/>
      <c r="J386" s="302">
        <v>4.7469702932900013</v>
      </c>
      <c r="K386" s="302">
        <v>2.1582618438898371</v>
      </c>
      <c r="L386" s="302">
        <f t="shared" si="150"/>
        <v>6.9052321371798389</v>
      </c>
      <c r="M386" s="236"/>
      <c r="N386" s="236"/>
    </row>
    <row r="387" spans="1:14" x14ac:dyDescent="0.3">
      <c r="A387" s="237" t="str">
        <f>name!E$8</f>
        <v>Skilled trades occupations</v>
      </c>
      <c r="B387" s="302">
        <v>4.4088021083471371</v>
      </c>
      <c r="C387" s="302">
        <v>21.964940009529265</v>
      </c>
      <c r="D387" s="302">
        <f t="shared" si="148"/>
        <v>26.373742117876404</v>
      </c>
      <c r="E387" s="303"/>
      <c r="F387" s="302">
        <v>3.6410877271578292</v>
      </c>
      <c r="G387" s="302">
        <v>18.274969496870266</v>
      </c>
      <c r="H387" s="302">
        <f t="shared" si="149"/>
        <v>21.916057224028094</v>
      </c>
      <c r="I387" s="303"/>
      <c r="J387" s="302">
        <v>3.7277164149050388</v>
      </c>
      <c r="K387" s="302">
        <v>13.060806238600955</v>
      </c>
      <c r="L387" s="302">
        <f t="shared" si="150"/>
        <v>16.788522653505993</v>
      </c>
      <c r="M387" s="236"/>
      <c r="N387" s="236"/>
    </row>
    <row r="388" spans="1:14" x14ac:dyDescent="0.3">
      <c r="A388" s="237" t="str">
        <f>name!E$9</f>
        <v>Caring, leisure and other service occupations</v>
      </c>
      <c r="B388" s="302">
        <v>0.62015965340743395</v>
      </c>
      <c r="C388" s="302">
        <v>0.18376805996110476</v>
      </c>
      <c r="D388" s="302">
        <f t="shared" si="148"/>
        <v>0.80392771336853874</v>
      </c>
      <c r="E388" s="303"/>
      <c r="F388" s="302">
        <v>0.72173236140443331</v>
      </c>
      <c r="G388" s="302">
        <v>0.21636297639494187</v>
      </c>
      <c r="H388" s="302">
        <f t="shared" si="149"/>
        <v>0.93809533779937515</v>
      </c>
      <c r="I388" s="303"/>
      <c r="J388" s="302">
        <v>0.54626788988064801</v>
      </c>
      <c r="K388" s="302">
        <v>0.22217306912605655</v>
      </c>
      <c r="L388" s="302">
        <f t="shared" si="150"/>
        <v>0.7684409590067045</v>
      </c>
      <c r="M388" s="236"/>
      <c r="N388" s="236"/>
    </row>
    <row r="389" spans="1:14" x14ac:dyDescent="0.3">
      <c r="A389" s="237" t="str">
        <f>name!E$10</f>
        <v>Sales and customer service occupations</v>
      </c>
      <c r="B389" s="302">
        <v>2.2399093526730223</v>
      </c>
      <c r="C389" s="302">
        <v>1.9452215259315306</v>
      </c>
      <c r="D389" s="302">
        <f t="shared" si="148"/>
        <v>4.1851308786045527</v>
      </c>
      <c r="E389" s="303"/>
      <c r="F389" s="302">
        <v>2.2415010632046135</v>
      </c>
      <c r="G389" s="302">
        <v>1.9912728053706614</v>
      </c>
      <c r="H389" s="302">
        <f t="shared" si="149"/>
        <v>4.2327738685752747</v>
      </c>
      <c r="I389" s="303"/>
      <c r="J389" s="302">
        <v>1.8060999716894666</v>
      </c>
      <c r="K389" s="302">
        <v>1.7571064345868506</v>
      </c>
      <c r="L389" s="302">
        <f t="shared" si="150"/>
        <v>3.5632064062763171</v>
      </c>
      <c r="M389" s="236"/>
      <c r="N389" s="236"/>
    </row>
    <row r="390" spans="1:14" x14ac:dyDescent="0.3">
      <c r="A390" s="237" t="str">
        <f>name!E$11</f>
        <v>Process, plant and machine operatives</v>
      </c>
      <c r="B390" s="302">
        <v>4.8399084977387314</v>
      </c>
      <c r="C390" s="302">
        <v>7.142647758143843</v>
      </c>
      <c r="D390" s="302">
        <f t="shared" si="148"/>
        <v>11.982556255882574</v>
      </c>
      <c r="E390" s="303"/>
      <c r="F390" s="302">
        <v>4.6667122453187968</v>
      </c>
      <c r="G390" s="302">
        <v>6.5077235933038722</v>
      </c>
      <c r="H390" s="302">
        <f t="shared" si="149"/>
        <v>11.174435838622669</v>
      </c>
      <c r="I390" s="303"/>
      <c r="J390" s="302">
        <v>4.7725480924180648</v>
      </c>
      <c r="K390" s="302">
        <v>5.8816133193936508</v>
      </c>
      <c r="L390" s="302">
        <f t="shared" si="150"/>
        <v>10.654161411811716</v>
      </c>
      <c r="M390" s="236"/>
      <c r="N390" s="236"/>
    </row>
    <row r="391" spans="1:14" x14ac:dyDescent="0.3">
      <c r="A391" s="237" t="str">
        <f>name!E$12</f>
        <v>Elementary occupations</v>
      </c>
      <c r="B391" s="302">
        <v>1.8951053376899065</v>
      </c>
      <c r="C391" s="302">
        <v>3.1882275833700953</v>
      </c>
      <c r="D391" s="302">
        <f t="shared" si="148"/>
        <v>5.083332921060002</v>
      </c>
      <c r="E391" s="303"/>
      <c r="F391" s="302">
        <v>1.3649386023322758</v>
      </c>
      <c r="G391" s="302">
        <v>2.7115958617684637</v>
      </c>
      <c r="H391" s="302">
        <f t="shared" si="149"/>
        <v>4.0765344641007397</v>
      </c>
      <c r="I391" s="303"/>
      <c r="J391" s="302">
        <v>0.91361858368662363</v>
      </c>
      <c r="K391" s="302">
        <v>1.4649122242486419</v>
      </c>
      <c r="L391" s="302">
        <f t="shared" si="150"/>
        <v>2.3785308079352654</v>
      </c>
      <c r="M391" s="236"/>
      <c r="N391" s="236"/>
    </row>
    <row r="392" spans="1:14" x14ac:dyDescent="0.3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3">
      <c r="A393" s="244" t="s">
        <v>32</v>
      </c>
      <c r="B393" s="311">
        <f>SUM(B383:B391)</f>
        <v>33.588000000011682</v>
      </c>
      <c r="C393" s="311">
        <f t="shared" ref="C393:D393" si="151">SUM(C383:C391)</f>
        <v>52.043000000009414</v>
      </c>
      <c r="D393" s="311">
        <f t="shared" si="151"/>
        <v>85.631000000021089</v>
      </c>
      <c r="E393" s="311"/>
      <c r="F393" s="311">
        <f t="shared" ref="F393:H393" si="152">SUM(F383:F391)</f>
        <v>36.276999999850354</v>
      </c>
      <c r="G393" s="311">
        <f t="shared" si="152"/>
        <v>52.618999999933095</v>
      </c>
      <c r="H393" s="311">
        <f t="shared" si="152"/>
        <v>88.89599999978347</v>
      </c>
      <c r="I393" s="311"/>
      <c r="J393" s="311">
        <f t="shared" ref="J393:L393" si="153">SUM(J383:J391)</f>
        <v>29.914000000004823</v>
      </c>
      <c r="K393" s="311">
        <f t="shared" si="153"/>
        <v>42.941000000026875</v>
      </c>
      <c r="L393" s="311">
        <f t="shared" si="153"/>
        <v>72.855000000031694</v>
      </c>
      <c r="M393" s="236"/>
      <c r="N393" s="236"/>
    </row>
    <row r="394" spans="1:14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3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3">
      <c r="A397" s="241" t="str">
        <f>name!A26</f>
        <v>Repair and installation</v>
      </c>
      <c r="B397" s="373">
        <f>B$6</f>
        <v>2015</v>
      </c>
      <c r="C397" s="373"/>
      <c r="D397" s="373"/>
      <c r="E397" s="253"/>
      <c r="F397" s="373">
        <f>F380</f>
        <v>2020</v>
      </c>
      <c r="G397" s="373"/>
      <c r="H397" s="373"/>
      <c r="I397" s="253"/>
      <c r="J397" s="373">
        <f>J380</f>
        <v>2035</v>
      </c>
      <c r="K397" s="373"/>
      <c r="L397" s="373"/>
      <c r="M397" s="236"/>
      <c r="N397" s="236"/>
    </row>
    <row r="398" spans="1:14" x14ac:dyDescent="0.3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3">
      <c r="A400" s="237" t="str">
        <f>name!E$4</f>
        <v>Managers, directors and senior officials</v>
      </c>
      <c r="B400" s="302">
        <v>1.4820658736800538</v>
      </c>
      <c r="C400" s="302">
        <v>11.556807340626694</v>
      </c>
      <c r="D400" s="302">
        <f>SUM(B400:C400)</f>
        <v>13.038873214306747</v>
      </c>
      <c r="E400" s="303"/>
      <c r="F400" s="302">
        <v>2.362793879245404</v>
      </c>
      <c r="G400" s="302">
        <v>17.389917832425134</v>
      </c>
      <c r="H400" s="302">
        <f>SUM(F400:G400)</f>
        <v>19.752711711670539</v>
      </c>
      <c r="I400" s="303"/>
      <c r="J400" s="302">
        <v>1.8828847454751083</v>
      </c>
      <c r="K400" s="302">
        <v>14.643098603256396</v>
      </c>
      <c r="L400" s="302">
        <f>SUM(J400:K400)</f>
        <v>16.525983348731504</v>
      </c>
      <c r="M400" s="236"/>
      <c r="N400" s="236"/>
    </row>
    <row r="401" spans="1:14" x14ac:dyDescent="0.3">
      <c r="A401" s="237" t="str">
        <f>name!E$5</f>
        <v>Professional occupations</v>
      </c>
      <c r="B401" s="302">
        <v>1.8121568607210616</v>
      </c>
      <c r="C401" s="302">
        <v>18.910812073975414</v>
      </c>
      <c r="D401" s="302">
        <f t="shared" ref="D401:D408" si="154">SUM(B401:C401)</f>
        <v>20.722968934696475</v>
      </c>
      <c r="E401" s="303"/>
      <c r="F401" s="302">
        <v>3.2418335840382886</v>
      </c>
      <c r="G401" s="302">
        <v>30.663251472635793</v>
      </c>
      <c r="H401" s="302">
        <f t="shared" ref="H401:H408" si="155">SUM(F401:G401)</f>
        <v>33.905085056674082</v>
      </c>
      <c r="I401" s="303"/>
      <c r="J401" s="302">
        <v>2.693695698059543</v>
      </c>
      <c r="K401" s="302">
        <v>28.021894474499653</v>
      </c>
      <c r="L401" s="302">
        <f t="shared" ref="L401:L408" si="156">SUM(J401:K401)</f>
        <v>30.715590172559196</v>
      </c>
      <c r="M401" s="236"/>
      <c r="N401" s="236"/>
    </row>
    <row r="402" spans="1:14" x14ac:dyDescent="0.3">
      <c r="A402" s="237" t="str">
        <f>name!E$6</f>
        <v>Associate professional occupations</v>
      </c>
      <c r="B402" s="302">
        <v>1.7015893645127882</v>
      </c>
      <c r="C402" s="302">
        <v>8.5671550128291134</v>
      </c>
      <c r="D402" s="302">
        <f t="shared" si="154"/>
        <v>10.268744377341902</v>
      </c>
      <c r="E402" s="303"/>
      <c r="F402" s="302">
        <v>2.6938346401537685</v>
      </c>
      <c r="G402" s="302">
        <v>13.494450003235038</v>
      </c>
      <c r="H402" s="302">
        <f t="shared" si="155"/>
        <v>16.188284643388805</v>
      </c>
      <c r="I402" s="303"/>
      <c r="J402" s="302">
        <v>2.0885497877814285</v>
      </c>
      <c r="K402" s="302">
        <v>10.090902289179359</v>
      </c>
      <c r="L402" s="302">
        <f t="shared" si="156"/>
        <v>12.179452076960787</v>
      </c>
      <c r="M402" s="236"/>
      <c r="N402" s="236"/>
    </row>
    <row r="403" spans="1:14" x14ac:dyDescent="0.3">
      <c r="A403" s="237" t="str">
        <f>name!E$7</f>
        <v>Administrative and secretarial occupations</v>
      </c>
      <c r="B403" s="302">
        <v>3.5850487859766864</v>
      </c>
      <c r="C403" s="302">
        <v>2.3292567024503303</v>
      </c>
      <c r="D403" s="302">
        <f t="shared" si="154"/>
        <v>5.9143054884270168</v>
      </c>
      <c r="E403" s="303"/>
      <c r="F403" s="302">
        <v>4.3347268115051465</v>
      </c>
      <c r="G403" s="302">
        <v>3.3399075675322329</v>
      </c>
      <c r="H403" s="302">
        <f t="shared" si="155"/>
        <v>7.6746343790373794</v>
      </c>
      <c r="I403" s="303"/>
      <c r="J403" s="302">
        <v>2.6791101669954678</v>
      </c>
      <c r="K403" s="302">
        <v>2.8618308434308646</v>
      </c>
      <c r="L403" s="302">
        <f t="shared" si="156"/>
        <v>5.5409410104263319</v>
      </c>
      <c r="M403" s="236"/>
      <c r="N403" s="236"/>
    </row>
    <row r="404" spans="1:14" x14ac:dyDescent="0.3">
      <c r="A404" s="237" t="str">
        <f>name!E$8</f>
        <v>Skilled trades occupations</v>
      </c>
      <c r="B404" s="302">
        <v>0.47451242487790035</v>
      </c>
      <c r="C404" s="302">
        <v>26.325338604408767</v>
      </c>
      <c r="D404" s="302">
        <f t="shared" si="154"/>
        <v>26.799851029286668</v>
      </c>
      <c r="E404" s="303"/>
      <c r="F404" s="302">
        <v>0.66955254699283906</v>
      </c>
      <c r="G404" s="302">
        <v>27.401451783976338</v>
      </c>
      <c r="H404" s="302">
        <f t="shared" si="155"/>
        <v>28.071004330969178</v>
      </c>
      <c r="I404" s="303"/>
      <c r="J404" s="302">
        <v>0.99191562250557819</v>
      </c>
      <c r="K404" s="302">
        <v>20.617593981679281</v>
      </c>
      <c r="L404" s="302">
        <f t="shared" si="156"/>
        <v>21.609509604184858</v>
      </c>
      <c r="M404" s="236"/>
      <c r="N404" s="236"/>
    </row>
    <row r="405" spans="1:14" x14ac:dyDescent="0.3">
      <c r="A405" s="237" t="str">
        <f>name!E$9</f>
        <v>Caring, leisure and other service occupations</v>
      </c>
      <c r="B405" s="302">
        <v>0.79886931222151747</v>
      </c>
      <c r="C405" s="302">
        <v>0.52846654310868446</v>
      </c>
      <c r="D405" s="302">
        <f t="shared" si="154"/>
        <v>1.3273358553302019</v>
      </c>
      <c r="E405" s="303"/>
      <c r="F405" s="302">
        <v>0.92264443273216801</v>
      </c>
      <c r="G405" s="302">
        <v>0.98763982817519858</v>
      </c>
      <c r="H405" s="302">
        <f t="shared" si="155"/>
        <v>1.9102842609073667</v>
      </c>
      <c r="I405" s="303"/>
      <c r="J405" s="302">
        <v>0.71591489974931855</v>
      </c>
      <c r="K405" s="302">
        <v>1.1602046773317563</v>
      </c>
      <c r="L405" s="302">
        <f t="shared" si="156"/>
        <v>1.8761195770810748</v>
      </c>
      <c r="M405" s="236"/>
      <c r="N405" s="236"/>
    </row>
    <row r="406" spans="1:14" x14ac:dyDescent="0.3">
      <c r="A406" s="237" t="str">
        <f>name!E$10</f>
        <v>Sales and customer service occupations</v>
      </c>
      <c r="B406" s="302">
        <v>0.79988960965093425</v>
      </c>
      <c r="C406" s="302">
        <v>1.6538692421865251</v>
      </c>
      <c r="D406" s="302">
        <f t="shared" si="154"/>
        <v>2.4537588518374593</v>
      </c>
      <c r="E406" s="303"/>
      <c r="F406" s="302">
        <v>0.98089005553371111</v>
      </c>
      <c r="G406" s="302">
        <v>2.1023123857590398</v>
      </c>
      <c r="H406" s="302">
        <f t="shared" si="155"/>
        <v>3.0832024412927508</v>
      </c>
      <c r="I406" s="303"/>
      <c r="J406" s="302">
        <v>0.87196417395702197</v>
      </c>
      <c r="K406" s="302">
        <v>1.928713087110238</v>
      </c>
      <c r="L406" s="302">
        <f t="shared" si="156"/>
        <v>2.8006772610672601</v>
      </c>
      <c r="M406" s="236"/>
      <c r="N406" s="236"/>
    </row>
    <row r="407" spans="1:14" x14ac:dyDescent="0.3">
      <c r="A407" s="237" t="str">
        <f>name!E$11</f>
        <v>Process, plant and machine operatives</v>
      </c>
      <c r="B407" s="302">
        <v>1.3300971623396955</v>
      </c>
      <c r="C407" s="302">
        <v>10.403924728281121</v>
      </c>
      <c r="D407" s="302">
        <f t="shared" si="154"/>
        <v>11.734021890620816</v>
      </c>
      <c r="E407" s="303"/>
      <c r="F407" s="302">
        <v>1.2914991864242826</v>
      </c>
      <c r="G407" s="302">
        <v>10.703994045859494</v>
      </c>
      <c r="H407" s="302">
        <f t="shared" si="155"/>
        <v>11.995493232283776</v>
      </c>
      <c r="I407" s="303"/>
      <c r="J407" s="302">
        <v>1.3037694603138172</v>
      </c>
      <c r="K407" s="302">
        <v>9.9630586304766027</v>
      </c>
      <c r="L407" s="302">
        <f t="shared" si="156"/>
        <v>11.266828090790419</v>
      </c>
      <c r="M407" s="236"/>
      <c r="N407" s="236"/>
    </row>
    <row r="408" spans="1:14" x14ac:dyDescent="0.3">
      <c r="A408" s="237" t="str">
        <f>name!E$12</f>
        <v>Elementary occupations</v>
      </c>
      <c r="B408" s="302">
        <v>0.99977060604447354</v>
      </c>
      <c r="C408" s="302">
        <v>2.9163697520179426</v>
      </c>
      <c r="D408" s="302">
        <f t="shared" si="154"/>
        <v>3.9161403580624161</v>
      </c>
      <c r="E408" s="303"/>
      <c r="F408" s="302">
        <v>0.78322486329290486</v>
      </c>
      <c r="G408" s="302">
        <v>3.009075080079783</v>
      </c>
      <c r="H408" s="302">
        <f t="shared" si="155"/>
        <v>3.7922999433726878</v>
      </c>
      <c r="I408" s="303"/>
      <c r="J408" s="302">
        <v>0.43819544516368669</v>
      </c>
      <c r="K408" s="302">
        <v>1.8567034128934439</v>
      </c>
      <c r="L408" s="302">
        <f t="shared" si="156"/>
        <v>2.2948988580571306</v>
      </c>
      <c r="M408" s="236"/>
      <c r="N408" s="236"/>
    </row>
    <row r="409" spans="1:14" x14ac:dyDescent="0.3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3">
      <c r="A410" s="244" t="s">
        <v>32</v>
      </c>
      <c r="B410" s="311">
        <f>SUM(B400:B408)</f>
        <v>12.984000000025112</v>
      </c>
      <c r="C410" s="311">
        <f t="shared" ref="C410:D410" si="157">SUM(C400:C408)</f>
        <v>83.191999999884601</v>
      </c>
      <c r="D410" s="311">
        <f t="shared" si="157"/>
        <v>96.17599999990972</v>
      </c>
      <c r="E410" s="311"/>
      <c r="F410" s="311">
        <f t="shared" ref="F410:H410" si="158">SUM(F400:F408)</f>
        <v>17.280999999918514</v>
      </c>
      <c r="G410" s="311">
        <f t="shared" si="158"/>
        <v>109.09199999967805</v>
      </c>
      <c r="H410" s="311">
        <f t="shared" si="158"/>
        <v>126.37299999959656</v>
      </c>
      <c r="I410" s="311"/>
      <c r="J410" s="311">
        <f t="shared" ref="J410:L410" si="159">SUM(J400:J408)</f>
        <v>13.66600000000097</v>
      </c>
      <c r="K410" s="311">
        <f t="shared" si="159"/>
        <v>91.143999999857613</v>
      </c>
      <c r="L410" s="311">
        <f t="shared" si="159"/>
        <v>104.80999999985856</v>
      </c>
      <c r="M410" s="236"/>
      <c r="N410" s="236"/>
    </row>
    <row r="411" spans="1:14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3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3">
      <c r="A414" s="241" t="str">
        <f>name!A27</f>
        <v>Electricity, gas, etc</v>
      </c>
      <c r="B414" s="373">
        <f>B$6</f>
        <v>2015</v>
      </c>
      <c r="C414" s="373"/>
      <c r="D414" s="373"/>
      <c r="E414" s="253"/>
      <c r="F414" s="373">
        <f>F397</f>
        <v>2020</v>
      </c>
      <c r="G414" s="373"/>
      <c r="H414" s="373"/>
      <c r="I414" s="253"/>
      <c r="J414" s="373">
        <f>J397</f>
        <v>2035</v>
      </c>
      <c r="K414" s="373"/>
      <c r="L414" s="373"/>
      <c r="M414" s="236"/>
      <c r="N414" s="236"/>
    </row>
    <row r="415" spans="1:14" x14ac:dyDescent="0.3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3">
      <c r="A417" s="237" t="str">
        <f>name!E$4</f>
        <v>Managers, directors and senior officials</v>
      </c>
      <c r="B417" s="302">
        <v>2.6721539700982802</v>
      </c>
      <c r="C417" s="302">
        <v>8.5546523673362316</v>
      </c>
      <c r="D417" s="302">
        <f>SUM(B417:C417)</f>
        <v>11.226806337434512</v>
      </c>
      <c r="E417" s="303"/>
      <c r="F417" s="302">
        <v>3.7894205292832184</v>
      </c>
      <c r="G417" s="302">
        <v>10.677475145851577</v>
      </c>
      <c r="H417" s="302">
        <f>SUM(F417:G417)</f>
        <v>14.466895675134795</v>
      </c>
      <c r="I417" s="303"/>
      <c r="J417" s="302">
        <v>3.9884292719195042</v>
      </c>
      <c r="K417" s="302">
        <v>11.052769986845499</v>
      </c>
      <c r="L417" s="302">
        <f>SUM(J417:K417)</f>
        <v>15.041199258765003</v>
      </c>
      <c r="M417" s="236"/>
      <c r="N417" s="236"/>
    </row>
    <row r="418" spans="1:14" x14ac:dyDescent="0.3">
      <c r="A418" s="237" t="str">
        <f>name!E$5</f>
        <v>Professional occupations</v>
      </c>
      <c r="B418" s="302">
        <v>3.9290676300712248</v>
      </c>
      <c r="C418" s="302">
        <v>17.892361608555419</v>
      </c>
      <c r="D418" s="302">
        <f t="shared" ref="D418:D425" si="160">SUM(B418:C418)</f>
        <v>21.821429238626642</v>
      </c>
      <c r="E418" s="303"/>
      <c r="F418" s="302">
        <v>6.1439521900380356</v>
      </c>
      <c r="G418" s="302">
        <v>24.985750308625057</v>
      </c>
      <c r="H418" s="302">
        <f t="shared" ref="H418:H425" si="161">SUM(F418:G418)</f>
        <v>31.129702498663093</v>
      </c>
      <c r="I418" s="303"/>
      <c r="J418" s="302">
        <v>7.1290823724890577</v>
      </c>
      <c r="K418" s="302">
        <v>26.730385577045876</v>
      </c>
      <c r="L418" s="302">
        <f t="shared" ref="L418:L425" si="162">SUM(J418:K418)</f>
        <v>33.859467949534931</v>
      </c>
      <c r="M418" s="236"/>
      <c r="N418" s="236"/>
    </row>
    <row r="419" spans="1:14" x14ac:dyDescent="0.3">
      <c r="A419" s="237" t="str">
        <f>name!E$6</f>
        <v>Associate professional occupations</v>
      </c>
      <c r="B419" s="302">
        <v>3.476488534595509</v>
      </c>
      <c r="C419" s="302">
        <v>10.33142947996215</v>
      </c>
      <c r="D419" s="302">
        <f t="shared" si="160"/>
        <v>13.807918014557659</v>
      </c>
      <c r="E419" s="303"/>
      <c r="F419" s="302">
        <v>4.8202531476823021</v>
      </c>
      <c r="G419" s="302">
        <v>14.624051437859189</v>
      </c>
      <c r="H419" s="302">
        <f t="shared" si="161"/>
        <v>19.444304585541492</v>
      </c>
      <c r="I419" s="303"/>
      <c r="J419" s="302">
        <v>4.5182302904416733</v>
      </c>
      <c r="K419" s="302">
        <v>12.293798882270542</v>
      </c>
      <c r="L419" s="302">
        <f t="shared" si="162"/>
        <v>16.812029172712215</v>
      </c>
      <c r="M419" s="236"/>
      <c r="N419" s="236"/>
    </row>
    <row r="420" spans="1:14" x14ac:dyDescent="0.3">
      <c r="A420" s="237" t="str">
        <f>name!E$7</f>
        <v>Administrative and secretarial occupations</v>
      </c>
      <c r="B420" s="302">
        <v>7.7836382788904555</v>
      </c>
      <c r="C420" s="302">
        <v>3.8260840298184582</v>
      </c>
      <c r="D420" s="302">
        <f t="shared" si="160"/>
        <v>11.609722308708914</v>
      </c>
      <c r="E420" s="303"/>
      <c r="F420" s="302">
        <v>8.1710347542041326</v>
      </c>
      <c r="G420" s="302">
        <v>4.981417672190827</v>
      </c>
      <c r="H420" s="302">
        <f t="shared" si="161"/>
        <v>13.152452426394959</v>
      </c>
      <c r="I420" s="303"/>
      <c r="J420" s="302">
        <v>5.6715324802569445</v>
      </c>
      <c r="K420" s="302">
        <v>4.0496781374927533</v>
      </c>
      <c r="L420" s="302">
        <f t="shared" si="162"/>
        <v>9.7212106177496977</v>
      </c>
      <c r="M420" s="236"/>
      <c r="N420" s="236"/>
    </row>
    <row r="421" spans="1:14" x14ac:dyDescent="0.3">
      <c r="A421" s="237" t="str">
        <f>name!E$8</f>
        <v>Skilled trades occupations</v>
      </c>
      <c r="B421" s="302">
        <v>0.61260832899088757</v>
      </c>
      <c r="C421" s="302">
        <v>19.06256397371483</v>
      </c>
      <c r="D421" s="302">
        <f t="shared" si="160"/>
        <v>19.675172302705718</v>
      </c>
      <c r="E421" s="303"/>
      <c r="F421" s="302">
        <v>1.0044869671021937</v>
      </c>
      <c r="G421" s="302">
        <v>16.55319770517028</v>
      </c>
      <c r="H421" s="302">
        <f t="shared" si="161"/>
        <v>17.557684672272472</v>
      </c>
      <c r="I421" s="303"/>
      <c r="J421" s="302">
        <v>1.6481202114696973</v>
      </c>
      <c r="K421" s="302">
        <v>12.535095565427739</v>
      </c>
      <c r="L421" s="302">
        <f t="shared" si="162"/>
        <v>14.183215776897436</v>
      </c>
      <c r="M421" s="236"/>
      <c r="N421" s="236"/>
    </row>
    <row r="422" spans="1:14" x14ac:dyDescent="0.3">
      <c r="A422" s="237" t="str">
        <f>name!E$9</f>
        <v>Caring, leisure and other service occupations</v>
      </c>
      <c r="B422" s="302">
        <v>1.3537575616746553</v>
      </c>
      <c r="C422" s="302">
        <v>0.88426883249371979</v>
      </c>
      <c r="D422" s="302">
        <f t="shared" si="160"/>
        <v>2.2380263941683749</v>
      </c>
      <c r="E422" s="303"/>
      <c r="F422" s="302">
        <v>1.7333697192462243</v>
      </c>
      <c r="G422" s="302">
        <v>1.1684925751871142</v>
      </c>
      <c r="H422" s="302">
        <f t="shared" si="161"/>
        <v>2.9018622944333385</v>
      </c>
      <c r="I422" s="303"/>
      <c r="J422" s="302">
        <v>1.6181961797427327</v>
      </c>
      <c r="K422" s="302">
        <v>1.3053822853521737</v>
      </c>
      <c r="L422" s="302">
        <f t="shared" si="162"/>
        <v>2.9235784650949066</v>
      </c>
      <c r="M422" s="236"/>
      <c r="N422" s="236"/>
    </row>
    <row r="423" spans="1:14" x14ac:dyDescent="0.3">
      <c r="A423" s="237" t="str">
        <f>name!E$10</f>
        <v>Sales and customer service occupations</v>
      </c>
      <c r="B423" s="302">
        <v>6.2363402359315003</v>
      </c>
      <c r="C423" s="302">
        <v>5.3347625182070955</v>
      </c>
      <c r="D423" s="302">
        <f t="shared" si="160"/>
        <v>11.571102754138597</v>
      </c>
      <c r="E423" s="303"/>
      <c r="F423" s="302">
        <v>7.3342371357543348</v>
      </c>
      <c r="G423" s="302">
        <v>6.0816038952163707</v>
      </c>
      <c r="H423" s="302">
        <f t="shared" si="161"/>
        <v>13.415841030970705</v>
      </c>
      <c r="I423" s="303"/>
      <c r="J423" s="302">
        <v>7.9990787112362396</v>
      </c>
      <c r="K423" s="302">
        <v>6.7611540827168319</v>
      </c>
      <c r="L423" s="302">
        <f t="shared" si="162"/>
        <v>14.760232793953072</v>
      </c>
      <c r="M423" s="236"/>
      <c r="N423" s="236"/>
    </row>
    <row r="424" spans="1:14" x14ac:dyDescent="0.3">
      <c r="A424" s="237" t="str">
        <f>name!E$11</f>
        <v>Process, plant and machine operatives</v>
      </c>
      <c r="B424" s="302">
        <v>0.19242550838849046</v>
      </c>
      <c r="C424" s="302">
        <v>4.4482104736872863</v>
      </c>
      <c r="D424" s="302">
        <f t="shared" si="160"/>
        <v>4.6406359820757768</v>
      </c>
      <c r="E424" s="303"/>
      <c r="F424" s="302">
        <v>0.21013316924932018</v>
      </c>
      <c r="G424" s="302">
        <v>4.3279073373016903</v>
      </c>
      <c r="H424" s="302">
        <f t="shared" si="161"/>
        <v>4.5380405065510105</v>
      </c>
      <c r="I424" s="303"/>
      <c r="J424" s="302">
        <v>0.33051833069490283</v>
      </c>
      <c r="K424" s="302">
        <v>4.5645415183075002</v>
      </c>
      <c r="L424" s="302">
        <f t="shared" si="162"/>
        <v>4.8950598490024033</v>
      </c>
      <c r="M424" s="236"/>
      <c r="N424" s="236"/>
    </row>
    <row r="425" spans="1:14" x14ac:dyDescent="0.3">
      <c r="A425" s="237" t="str">
        <f>name!E$12</f>
        <v>Elementary occupations</v>
      </c>
      <c r="B425" s="302">
        <v>0.80551995136770205</v>
      </c>
      <c r="C425" s="302">
        <v>1.3896667157805287</v>
      </c>
      <c r="D425" s="302">
        <f t="shared" si="160"/>
        <v>2.1951866671482305</v>
      </c>
      <c r="E425" s="303"/>
      <c r="F425" s="302">
        <v>0.81711238743441772</v>
      </c>
      <c r="G425" s="302">
        <v>1.3071039220825429</v>
      </c>
      <c r="H425" s="302">
        <f t="shared" si="161"/>
        <v>2.1242163095169606</v>
      </c>
      <c r="I425" s="303"/>
      <c r="J425" s="302">
        <v>0.52681215154260097</v>
      </c>
      <c r="K425" s="302">
        <v>0.77119396434873511</v>
      </c>
      <c r="L425" s="302">
        <f t="shared" si="162"/>
        <v>1.2980061158913361</v>
      </c>
      <c r="M425" s="236"/>
      <c r="N425" s="236"/>
    </row>
    <row r="426" spans="1:14" x14ac:dyDescent="0.3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3">
      <c r="A427" s="244" t="s">
        <v>32</v>
      </c>
      <c r="B427" s="311">
        <f>SUM(B417:B425)</f>
        <v>27.062000000008705</v>
      </c>
      <c r="C427" s="311">
        <f t="shared" ref="C427:D427" si="163">SUM(C417:C425)</f>
        <v>71.72399999955573</v>
      </c>
      <c r="D427" s="311">
        <f t="shared" si="163"/>
        <v>98.785999999564424</v>
      </c>
      <c r="E427" s="311"/>
      <c r="F427" s="311">
        <f t="shared" ref="F427:H427" si="164">SUM(F417:F425)</f>
        <v>34.023999999994174</v>
      </c>
      <c r="G427" s="311">
        <f t="shared" si="164"/>
        <v>84.706999999484665</v>
      </c>
      <c r="H427" s="311">
        <f t="shared" si="164"/>
        <v>118.73099999947884</v>
      </c>
      <c r="I427" s="311"/>
      <c r="J427" s="311">
        <f t="shared" ref="J427:L427" si="165">SUM(J417:J425)</f>
        <v>33.429999999793345</v>
      </c>
      <c r="K427" s="311">
        <f t="shared" si="165"/>
        <v>80.063999999807677</v>
      </c>
      <c r="L427" s="311">
        <f t="shared" si="165"/>
        <v>113.49399999960102</v>
      </c>
      <c r="M427" s="236"/>
      <c r="N427" s="236"/>
    </row>
    <row r="428" spans="1:14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3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3">
      <c r="A431" s="241" t="str">
        <f>name!A28</f>
        <v>Water</v>
      </c>
      <c r="B431" s="373">
        <f>B$6</f>
        <v>2015</v>
      </c>
      <c r="C431" s="373"/>
      <c r="D431" s="373"/>
      <c r="E431" s="253"/>
      <c r="F431" s="373">
        <f>F414</f>
        <v>2020</v>
      </c>
      <c r="G431" s="373"/>
      <c r="H431" s="373"/>
      <c r="I431" s="253"/>
      <c r="J431" s="373">
        <f>J414</f>
        <v>2035</v>
      </c>
      <c r="K431" s="373"/>
      <c r="L431" s="373"/>
      <c r="M431" s="236"/>
      <c r="N431" s="236"/>
    </row>
    <row r="432" spans="1:14" x14ac:dyDescent="0.3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3">
      <c r="A434" s="237" t="str">
        <f>name!E$4</f>
        <v>Managers, directors and senior officials</v>
      </c>
      <c r="B434" s="302">
        <v>1.0744694389457576</v>
      </c>
      <c r="C434" s="302">
        <v>2.9401906745012094</v>
      </c>
      <c r="D434" s="302">
        <f>SUM(B434:C434)</f>
        <v>4.0146601134469666</v>
      </c>
      <c r="E434" s="303"/>
      <c r="F434" s="302">
        <v>0.98648438680552974</v>
      </c>
      <c r="G434" s="302">
        <v>4.2163980254461819</v>
      </c>
      <c r="H434" s="302">
        <f>SUM(F434:G434)</f>
        <v>5.2028824122517117</v>
      </c>
      <c r="I434" s="303"/>
      <c r="J434" s="302">
        <v>1.2546297623383476</v>
      </c>
      <c r="K434" s="302">
        <v>4.6307404025512477</v>
      </c>
      <c r="L434" s="302">
        <f>SUM(J434:K434)</f>
        <v>5.8853701648895953</v>
      </c>
      <c r="M434" s="236"/>
      <c r="N434" s="236"/>
    </row>
    <row r="435" spans="1:14" x14ac:dyDescent="0.3">
      <c r="A435" s="237" t="str">
        <f>name!E$5</f>
        <v>Professional occupations</v>
      </c>
      <c r="B435" s="302">
        <v>1.9408216041369293</v>
      </c>
      <c r="C435" s="302">
        <v>4.070362579115967</v>
      </c>
      <c r="D435" s="302">
        <f t="shared" ref="D435:D442" si="166">SUM(B435:C435)</f>
        <v>6.0111841832528965</v>
      </c>
      <c r="E435" s="303"/>
      <c r="F435" s="302">
        <v>2.2195516349481705</v>
      </c>
      <c r="G435" s="302">
        <v>6.4627068131300787</v>
      </c>
      <c r="H435" s="302">
        <f t="shared" ref="H435:H442" si="167">SUM(F435:G435)</f>
        <v>8.6822584480782492</v>
      </c>
      <c r="I435" s="303"/>
      <c r="J435" s="302">
        <v>3.4508480106467276</v>
      </c>
      <c r="K435" s="302">
        <v>8.1306642796830086</v>
      </c>
      <c r="L435" s="302">
        <f t="shared" ref="L435:L442" si="168">SUM(J435:K435)</f>
        <v>11.581512290329737</v>
      </c>
      <c r="M435" s="236"/>
      <c r="N435" s="236"/>
    </row>
    <row r="436" spans="1:14" x14ac:dyDescent="0.3">
      <c r="A436" s="237" t="str">
        <f>name!E$6</f>
        <v>Associate professional occupations</v>
      </c>
      <c r="B436" s="302">
        <v>2.3687212383024381</v>
      </c>
      <c r="C436" s="302">
        <v>3.0573638771846094</v>
      </c>
      <c r="D436" s="302">
        <f t="shared" si="166"/>
        <v>5.426085115487048</v>
      </c>
      <c r="E436" s="303"/>
      <c r="F436" s="302">
        <v>2.3174692328269568</v>
      </c>
      <c r="G436" s="302">
        <v>4.4204563993673363</v>
      </c>
      <c r="H436" s="302">
        <f t="shared" si="167"/>
        <v>6.7379256321942931</v>
      </c>
      <c r="I436" s="303"/>
      <c r="J436" s="302">
        <v>2.7546941203508188</v>
      </c>
      <c r="K436" s="302">
        <v>4.4951718469371373</v>
      </c>
      <c r="L436" s="302">
        <f t="shared" si="168"/>
        <v>7.2498659672879562</v>
      </c>
      <c r="M436" s="236"/>
      <c r="N436" s="236"/>
    </row>
    <row r="437" spans="1:14" x14ac:dyDescent="0.3">
      <c r="A437" s="237" t="str">
        <f>name!E$7</f>
        <v>Administrative and secretarial occupations</v>
      </c>
      <c r="B437" s="302">
        <v>2.6876235723222224</v>
      </c>
      <c r="C437" s="302">
        <v>0.8025976716558596</v>
      </c>
      <c r="D437" s="302">
        <f t="shared" si="166"/>
        <v>3.4902212439780822</v>
      </c>
      <c r="E437" s="303"/>
      <c r="F437" s="302">
        <v>2.140211551631221</v>
      </c>
      <c r="G437" s="302">
        <v>1.1317398888569399</v>
      </c>
      <c r="H437" s="302">
        <f t="shared" si="167"/>
        <v>3.2719514404881611</v>
      </c>
      <c r="I437" s="303"/>
      <c r="J437" s="302">
        <v>1.8102771599958438</v>
      </c>
      <c r="K437" s="302">
        <v>1.3712020178865414</v>
      </c>
      <c r="L437" s="302">
        <f t="shared" si="168"/>
        <v>3.1814791778823852</v>
      </c>
      <c r="M437" s="236"/>
      <c r="N437" s="236"/>
    </row>
    <row r="438" spans="1:14" x14ac:dyDescent="0.3">
      <c r="A438" s="237" t="str">
        <f>name!E$8</f>
        <v>Skilled trades occupations</v>
      </c>
      <c r="B438" s="302">
        <v>0.3800896675804506</v>
      </c>
      <c r="C438" s="302">
        <v>4.3292048679151884</v>
      </c>
      <c r="D438" s="302">
        <f t="shared" si="166"/>
        <v>4.7092945354956388</v>
      </c>
      <c r="E438" s="303"/>
      <c r="F438" s="302">
        <v>0.17937654979649381</v>
      </c>
      <c r="G438" s="302">
        <v>4.3330110975414202</v>
      </c>
      <c r="H438" s="302">
        <f t="shared" si="167"/>
        <v>4.5123876473379143</v>
      </c>
      <c r="I438" s="303"/>
      <c r="J438" s="302">
        <v>0.41630984685720512</v>
      </c>
      <c r="K438" s="302">
        <v>4.0942903690812456</v>
      </c>
      <c r="L438" s="302">
        <f t="shared" si="168"/>
        <v>4.5106002159384504</v>
      </c>
      <c r="M438" s="236"/>
      <c r="N438" s="236"/>
    </row>
    <row r="439" spans="1:14" x14ac:dyDescent="0.3">
      <c r="A439" s="237" t="str">
        <f>name!E$9</f>
        <v>Caring, leisure and other service occupations</v>
      </c>
      <c r="B439" s="302">
        <v>0.60097739814979867</v>
      </c>
      <c r="C439" s="302">
        <v>7.2950551073439049E-2</v>
      </c>
      <c r="D439" s="302">
        <f t="shared" si="166"/>
        <v>0.67392794922323773</v>
      </c>
      <c r="E439" s="303"/>
      <c r="F439" s="302">
        <v>0.37299394401099439</v>
      </c>
      <c r="G439" s="302">
        <v>9.9784272358577258E-2</v>
      </c>
      <c r="H439" s="302">
        <f t="shared" si="167"/>
        <v>0.47277821636957162</v>
      </c>
      <c r="I439" s="303"/>
      <c r="J439" s="302">
        <v>0.42855862147318541</v>
      </c>
      <c r="K439" s="302">
        <v>0.13242413908767173</v>
      </c>
      <c r="L439" s="302">
        <f t="shared" si="168"/>
        <v>0.56098276056085716</v>
      </c>
      <c r="M439" s="236"/>
      <c r="N439" s="236"/>
    </row>
    <row r="440" spans="1:14" x14ac:dyDescent="0.3">
      <c r="A440" s="237" t="str">
        <f>name!E$10</f>
        <v>Sales and customer service occupations</v>
      </c>
      <c r="B440" s="302">
        <v>1.5410199494209238</v>
      </c>
      <c r="C440" s="302">
        <v>0.73389252403062388</v>
      </c>
      <c r="D440" s="302">
        <f t="shared" si="166"/>
        <v>2.2749124734515478</v>
      </c>
      <c r="E440" s="303"/>
      <c r="F440" s="302">
        <v>1.276284452904497</v>
      </c>
      <c r="G440" s="302">
        <v>1.0166061445702346</v>
      </c>
      <c r="H440" s="302">
        <f t="shared" si="167"/>
        <v>2.2928905974747318</v>
      </c>
      <c r="I440" s="303"/>
      <c r="J440" s="302">
        <v>1.6101950646428527</v>
      </c>
      <c r="K440" s="302">
        <v>1.2781629572515241</v>
      </c>
      <c r="L440" s="302">
        <f t="shared" si="168"/>
        <v>2.8883580218943767</v>
      </c>
      <c r="M440" s="236"/>
      <c r="N440" s="236"/>
    </row>
    <row r="441" spans="1:14" x14ac:dyDescent="0.3">
      <c r="A441" s="237" t="str">
        <f>name!E$11</f>
        <v>Process, plant and machine operatives</v>
      </c>
      <c r="B441" s="302">
        <v>0.15419291946008179</v>
      </c>
      <c r="C441" s="302">
        <v>3.84490759807198</v>
      </c>
      <c r="D441" s="302">
        <f t="shared" si="166"/>
        <v>3.999100517532062</v>
      </c>
      <c r="E441" s="303"/>
      <c r="F441" s="302">
        <v>8.3062269989843229E-2</v>
      </c>
      <c r="G441" s="302">
        <v>3.9836231546930021</v>
      </c>
      <c r="H441" s="302">
        <f t="shared" si="167"/>
        <v>4.066685424682845</v>
      </c>
      <c r="I441" s="303"/>
      <c r="J441" s="302">
        <v>8.9537668290727568E-2</v>
      </c>
      <c r="K441" s="302">
        <v>4.4069608138956404</v>
      </c>
      <c r="L441" s="302">
        <f t="shared" si="168"/>
        <v>4.4964984821863681</v>
      </c>
      <c r="M441" s="236"/>
      <c r="N441" s="236"/>
    </row>
    <row r="442" spans="1:14" x14ac:dyDescent="0.3">
      <c r="A442" s="237" t="str">
        <f>name!E$12</f>
        <v>Elementary occupations</v>
      </c>
      <c r="B442" s="302">
        <v>0.55108421164033183</v>
      </c>
      <c r="C442" s="302">
        <v>0.81452965634225183</v>
      </c>
      <c r="D442" s="302">
        <f t="shared" si="166"/>
        <v>1.3656138679825838</v>
      </c>
      <c r="E442" s="303"/>
      <c r="F442" s="302">
        <v>0.30256597704004773</v>
      </c>
      <c r="G442" s="302">
        <v>0.9396742039204582</v>
      </c>
      <c r="H442" s="302">
        <f t="shared" si="167"/>
        <v>1.2422401809605059</v>
      </c>
      <c r="I442" s="303"/>
      <c r="J442" s="302">
        <v>0.29294974544380098</v>
      </c>
      <c r="K442" s="302">
        <v>0.76938317356397856</v>
      </c>
      <c r="L442" s="302">
        <f t="shared" si="168"/>
        <v>1.0623329190077795</v>
      </c>
      <c r="M442" s="236"/>
      <c r="N442" s="236"/>
    </row>
    <row r="443" spans="1:14" x14ac:dyDescent="0.3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3">
      <c r="A444" s="244" t="s">
        <v>32</v>
      </c>
      <c r="B444" s="311">
        <f>SUM(B434:B442)</f>
        <v>11.298999999958934</v>
      </c>
      <c r="C444" s="311">
        <f t="shared" ref="C444:D444" si="169">SUM(C434:C442)</f>
        <v>20.665999999891131</v>
      </c>
      <c r="D444" s="311">
        <f t="shared" si="169"/>
        <v>31.964999999850061</v>
      </c>
      <c r="E444" s="311"/>
      <c r="F444" s="311">
        <f t="shared" ref="F444:H444" si="170">SUM(F434:F442)</f>
        <v>9.8779999999537562</v>
      </c>
      <c r="G444" s="311">
        <f t="shared" si="170"/>
        <v>26.60399999988423</v>
      </c>
      <c r="H444" s="311">
        <f t="shared" si="170"/>
        <v>36.481999999837988</v>
      </c>
      <c r="I444" s="311"/>
      <c r="J444" s="311">
        <f t="shared" ref="J444:L444" si="171">SUM(J434:J442)</f>
        <v>12.108000000039508</v>
      </c>
      <c r="K444" s="311">
        <f t="shared" si="171"/>
        <v>29.308999999937996</v>
      </c>
      <c r="L444" s="311">
        <f t="shared" si="171"/>
        <v>41.416999999977506</v>
      </c>
      <c r="M444" s="236"/>
      <c r="N444" s="236"/>
    </row>
    <row r="445" spans="1:14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3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3">
      <c r="A448" s="241" t="str">
        <f>name!A29</f>
        <v>Sewerage</v>
      </c>
      <c r="B448" s="373">
        <f>B$6</f>
        <v>2015</v>
      </c>
      <c r="C448" s="373"/>
      <c r="D448" s="373"/>
      <c r="E448" s="253"/>
      <c r="F448" s="373">
        <f>F431</f>
        <v>2020</v>
      </c>
      <c r="G448" s="373"/>
      <c r="H448" s="373"/>
      <c r="I448" s="253"/>
      <c r="J448" s="373">
        <f>J431</f>
        <v>2035</v>
      </c>
      <c r="K448" s="373"/>
      <c r="L448" s="373"/>
      <c r="M448" s="236"/>
      <c r="N448" s="236"/>
    </row>
    <row r="449" spans="1:14" x14ac:dyDescent="0.3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3">
      <c r="A451" s="237" t="str">
        <f>name!E$4</f>
        <v>Managers, directors and senior officials</v>
      </c>
      <c r="B451" s="302">
        <v>0.40056339981596623</v>
      </c>
      <c r="C451" s="302">
        <v>1.7695999783036924</v>
      </c>
      <c r="D451" s="302">
        <f>SUM(B451:C451)</f>
        <v>2.1701633781196588</v>
      </c>
      <c r="E451" s="303"/>
      <c r="F451" s="302">
        <v>0.39572612086253706</v>
      </c>
      <c r="G451" s="302">
        <v>1.5753903287248625</v>
      </c>
      <c r="H451" s="302">
        <f>SUM(F451:G451)</f>
        <v>1.9711164495873996</v>
      </c>
      <c r="I451" s="303"/>
      <c r="J451" s="302">
        <v>0.47594356305464519</v>
      </c>
      <c r="K451" s="302">
        <v>1.6963953040692503</v>
      </c>
      <c r="L451" s="302">
        <f>SUM(J451:K451)</f>
        <v>2.1723388671238957</v>
      </c>
      <c r="M451" s="236"/>
      <c r="N451" s="236"/>
    </row>
    <row r="452" spans="1:14" x14ac:dyDescent="0.3">
      <c r="A452" s="237" t="str">
        <f>name!E$5</f>
        <v>Professional occupations</v>
      </c>
      <c r="B452" s="302">
        <v>0.59076300356606093</v>
      </c>
      <c r="C452" s="302">
        <v>1.6262556831660708</v>
      </c>
      <c r="D452" s="302">
        <f t="shared" ref="D452:D459" si="172">SUM(B452:C452)</f>
        <v>2.217018686732132</v>
      </c>
      <c r="E452" s="303"/>
      <c r="F452" s="302">
        <v>0.67318357868229006</v>
      </c>
      <c r="G452" s="302">
        <v>1.578334514720714</v>
      </c>
      <c r="H452" s="302">
        <f t="shared" ref="H452:H459" si="173">SUM(F452:G452)</f>
        <v>2.2515180934030039</v>
      </c>
      <c r="I452" s="303"/>
      <c r="J452" s="302">
        <v>0.8731674645760269</v>
      </c>
      <c r="K452" s="302">
        <v>1.9058200445562763</v>
      </c>
      <c r="L452" s="302">
        <f t="shared" ref="L452:L459" si="174">SUM(J452:K452)</f>
        <v>2.7789875091323033</v>
      </c>
      <c r="M452" s="236"/>
      <c r="N452" s="236"/>
    </row>
    <row r="453" spans="1:14" x14ac:dyDescent="0.3">
      <c r="A453" s="237" t="str">
        <f>name!E$6</f>
        <v>Associate professional occupations</v>
      </c>
      <c r="B453" s="302">
        <v>1.4463417320070082</v>
      </c>
      <c r="C453" s="302">
        <v>1.463168981637295</v>
      </c>
      <c r="D453" s="302">
        <f t="shared" si="172"/>
        <v>2.9095107136443032</v>
      </c>
      <c r="E453" s="303"/>
      <c r="F453" s="302">
        <v>1.6903409617467318</v>
      </c>
      <c r="G453" s="302">
        <v>1.2959890293508971</v>
      </c>
      <c r="H453" s="302">
        <f t="shared" si="173"/>
        <v>2.9863299910976289</v>
      </c>
      <c r="I453" s="303"/>
      <c r="J453" s="302">
        <v>2.7923180265102738</v>
      </c>
      <c r="K453" s="302">
        <v>1.2972664627539043</v>
      </c>
      <c r="L453" s="302">
        <f t="shared" si="174"/>
        <v>4.0895844892641779</v>
      </c>
      <c r="M453" s="236"/>
      <c r="N453" s="236"/>
    </row>
    <row r="454" spans="1:14" x14ac:dyDescent="0.3">
      <c r="A454" s="237" t="str">
        <f>name!E$7</f>
        <v>Administrative and secretarial occupations</v>
      </c>
      <c r="B454" s="302">
        <v>1.4542865815116288</v>
      </c>
      <c r="C454" s="302">
        <v>0.37005999103029708</v>
      </c>
      <c r="D454" s="302">
        <f t="shared" si="172"/>
        <v>1.8243465725419259</v>
      </c>
      <c r="E454" s="303"/>
      <c r="F454" s="302">
        <v>1.5084357664297763</v>
      </c>
      <c r="G454" s="302">
        <v>0.37651764659041798</v>
      </c>
      <c r="H454" s="302">
        <f t="shared" si="173"/>
        <v>1.8849534130201944</v>
      </c>
      <c r="I454" s="303"/>
      <c r="J454" s="302">
        <v>1.062357056351219</v>
      </c>
      <c r="K454" s="302">
        <v>0.38722768072626584</v>
      </c>
      <c r="L454" s="302">
        <f t="shared" si="174"/>
        <v>1.4495847370774848</v>
      </c>
      <c r="M454" s="236"/>
      <c r="N454" s="236"/>
    </row>
    <row r="455" spans="1:14" x14ac:dyDescent="0.3">
      <c r="A455" s="237" t="str">
        <f>name!E$8</f>
        <v>Skilled trades occupations</v>
      </c>
      <c r="B455" s="302">
        <v>0.17017776875924601</v>
      </c>
      <c r="C455" s="302">
        <v>1.3485043917546198</v>
      </c>
      <c r="D455" s="302">
        <f t="shared" si="172"/>
        <v>1.5186821605138658</v>
      </c>
      <c r="E455" s="303"/>
      <c r="F455" s="302">
        <v>8.7533994539971322E-2</v>
      </c>
      <c r="G455" s="302">
        <v>0.70491538924049402</v>
      </c>
      <c r="H455" s="302">
        <f t="shared" si="173"/>
        <v>0.79244938378046537</v>
      </c>
      <c r="I455" s="303"/>
      <c r="J455" s="302">
        <v>0.18416478507335524</v>
      </c>
      <c r="K455" s="302">
        <v>0.65464193168826457</v>
      </c>
      <c r="L455" s="302">
        <f t="shared" si="174"/>
        <v>0.83880671676161978</v>
      </c>
      <c r="M455" s="236"/>
      <c r="N455" s="236"/>
    </row>
    <row r="456" spans="1:14" x14ac:dyDescent="0.3">
      <c r="A456" s="237" t="str">
        <f>name!E$9</f>
        <v>Caring, leisure and other service occupations</v>
      </c>
      <c r="B456" s="302">
        <v>0.39992336456233107</v>
      </c>
      <c r="C456" s="302">
        <v>0.3035870790301774</v>
      </c>
      <c r="D456" s="302">
        <f t="shared" si="172"/>
        <v>0.70351044359250847</v>
      </c>
      <c r="E456" s="303"/>
      <c r="F456" s="302">
        <v>0.41602095316603033</v>
      </c>
      <c r="G456" s="302">
        <v>0.30895322517339796</v>
      </c>
      <c r="H456" s="302">
        <f t="shared" si="173"/>
        <v>0.72497417833942834</v>
      </c>
      <c r="I456" s="303"/>
      <c r="J456" s="302">
        <v>0.5737445112599121</v>
      </c>
      <c r="K456" s="302">
        <v>0.39657481075419493</v>
      </c>
      <c r="L456" s="302">
        <f t="shared" si="174"/>
        <v>0.97031932201410709</v>
      </c>
      <c r="M456" s="236"/>
      <c r="N456" s="236"/>
    </row>
    <row r="457" spans="1:14" x14ac:dyDescent="0.3">
      <c r="A457" s="237" t="str">
        <f>name!E$10</f>
        <v>Sales and customer service occupations</v>
      </c>
      <c r="B457" s="302">
        <v>0.26243829524033457</v>
      </c>
      <c r="C457" s="302">
        <v>0.3439766450721371</v>
      </c>
      <c r="D457" s="302">
        <f t="shared" si="172"/>
        <v>0.60641494031247167</v>
      </c>
      <c r="E457" s="303"/>
      <c r="F457" s="302">
        <v>0.28876104479099107</v>
      </c>
      <c r="G457" s="302">
        <v>0.29296924521569268</v>
      </c>
      <c r="H457" s="302">
        <f t="shared" si="173"/>
        <v>0.58173029000668375</v>
      </c>
      <c r="I457" s="303"/>
      <c r="J457" s="302">
        <v>0.36086911345405381</v>
      </c>
      <c r="K457" s="302">
        <v>0.33622633772696436</v>
      </c>
      <c r="L457" s="302">
        <f t="shared" si="174"/>
        <v>0.69709545118101812</v>
      </c>
      <c r="M457" s="236"/>
      <c r="N457" s="236"/>
    </row>
    <row r="458" spans="1:14" x14ac:dyDescent="0.3">
      <c r="A458" s="237" t="str">
        <f>name!E$11</f>
        <v>Process, plant and machine operatives</v>
      </c>
      <c r="B458" s="302">
        <v>0.17080797024387742</v>
      </c>
      <c r="C458" s="302">
        <v>4.3955397289849136</v>
      </c>
      <c r="D458" s="302">
        <f t="shared" si="172"/>
        <v>4.5663476992287908</v>
      </c>
      <c r="E458" s="303"/>
      <c r="F458" s="302">
        <v>0.14177454611379298</v>
      </c>
      <c r="G458" s="302">
        <v>3.5357419722019356</v>
      </c>
      <c r="H458" s="302">
        <f t="shared" si="173"/>
        <v>3.6775165183157288</v>
      </c>
      <c r="I458" s="303"/>
      <c r="J458" s="302">
        <v>0.19978024113296708</v>
      </c>
      <c r="K458" s="302">
        <v>4.1719492647221461</v>
      </c>
      <c r="L458" s="302">
        <f t="shared" si="174"/>
        <v>4.3717295058551136</v>
      </c>
      <c r="M458" s="236"/>
      <c r="N458" s="236"/>
    </row>
    <row r="459" spans="1:14" x14ac:dyDescent="0.3">
      <c r="A459" s="237" t="str">
        <f>name!E$12</f>
        <v>Elementary occupations</v>
      </c>
      <c r="B459" s="302">
        <v>0.70669788428000679</v>
      </c>
      <c r="C459" s="302">
        <v>4.6923075211199734</v>
      </c>
      <c r="D459" s="302">
        <f t="shared" si="172"/>
        <v>5.3990054053999801</v>
      </c>
      <c r="E459" s="303"/>
      <c r="F459" s="302">
        <v>0.48322303364821773</v>
      </c>
      <c r="G459" s="302">
        <v>4.117188648841215</v>
      </c>
      <c r="H459" s="302">
        <f t="shared" si="173"/>
        <v>4.6004116824894332</v>
      </c>
      <c r="I459" s="303"/>
      <c r="J459" s="302">
        <v>0.37065523862832794</v>
      </c>
      <c r="K459" s="302">
        <v>4.4868981631255744</v>
      </c>
      <c r="L459" s="302">
        <f t="shared" si="174"/>
        <v>4.8575534017539024</v>
      </c>
      <c r="M459" s="236"/>
      <c r="N459" s="236"/>
    </row>
    <row r="460" spans="1:14" x14ac:dyDescent="0.3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3">
      <c r="A461" s="244" t="s">
        <v>32</v>
      </c>
      <c r="B461" s="311">
        <f>SUM(B451:B459)</f>
        <v>5.60199999998646</v>
      </c>
      <c r="C461" s="311">
        <f t="shared" ref="C461:D461" si="175">SUM(C451:C459)</f>
        <v>16.31300000009918</v>
      </c>
      <c r="D461" s="311">
        <f t="shared" si="175"/>
        <v>21.915000000085637</v>
      </c>
      <c r="E461" s="311"/>
      <c r="F461" s="311">
        <f t="shared" ref="F461:H461" si="176">SUM(F451:F459)</f>
        <v>5.684999999980338</v>
      </c>
      <c r="G461" s="311">
        <f t="shared" si="176"/>
        <v>13.786000000059627</v>
      </c>
      <c r="H461" s="311">
        <f t="shared" si="176"/>
        <v>19.471000000039965</v>
      </c>
      <c r="I461" s="311"/>
      <c r="J461" s="311">
        <f t="shared" ref="J461:L461" si="177">SUM(J451:J459)</f>
        <v>6.8930000000407823</v>
      </c>
      <c r="K461" s="311">
        <f t="shared" si="177"/>
        <v>15.333000000122841</v>
      </c>
      <c r="L461" s="311">
        <f t="shared" si="177"/>
        <v>22.226000000163623</v>
      </c>
      <c r="M461" s="236"/>
      <c r="N461" s="236"/>
    </row>
    <row r="462" spans="1:14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3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3">
      <c r="A465" s="241" t="str">
        <f>name!A30</f>
        <v>Waste management</v>
      </c>
      <c r="B465" s="373">
        <f>B$6</f>
        <v>2015</v>
      </c>
      <c r="C465" s="373"/>
      <c r="D465" s="373"/>
      <c r="E465" s="253"/>
      <c r="F465" s="373">
        <f>F448</f>
        <v>2020</v>
      </c>
      <c r="G465" s="373"/>
      <c r="H465" s="373"/>
      <c r="I465" s="253"/>
      <c r="J465" s="373">
        <f>J448</f>
        <v>2035</v>
      </c>
      <c r="K465" s="373"/>
      <c r="L465" s="373"/>
      <c r="M465" s="236"/>
      <c r="N465" s="236"/>
    </row>
    <row r="466" spans="1:14" x14ac:dyDescent="0.3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3">
      <c r="A468" s="237" t="str">
        <f>name!E$4</f>
        <v>Managers, directors and senior officials</v>
      </c>
      <c r="B468" s="302">
        <v>1.9998078292889874</v>
      </c>
      <c r="C468" s="302">
        <v>9.7024646484807437</v>
      </c>
      <c r="D468" s="302">
        <f>SUM(B468:C468)</f>
        <v>11.702272477769732</v>
      </c>
      <c r="E468" s="303"/>
      <c r="F468" s="302">
        <v>2.2050673318545808</v>
      </c>
      <c r="G468" s="302">
        <v>12.402861883198753</v>
      </c>
      <c r="H468" s="302">
        <f>SUM(F468:G468)</f>
        <v>14.607929215053334</v>
      </c>
      <c r="I468" s="303"/>
      <c r="J468" s="302">
        <v>2.8253624046813068</v>
      </c>
      <c r="K468" s="302">
        <v>14.547183391373476</v>
      </c>
      <c r="L468" s="302">
        <f>SUM(J468:K468)</f>
        <v>17.372545796054784</v>
      </c>
      <c r="M468" s="236"/>
      <c r="N468" s="236"/>
    </row>
    <row r="469" spans="1:14" x14ac:dyDescent="0.3">
      <c r="A469" s="237" t="str">
        <f>name!E$5</f>
        <v>Professional occupations</v>
      </c>
      <c r="B469" s="302">
        <v>3.2581699428312278</v>
      </c>
      <c r="C469" s="302">
        <v>6.4871822221015565</v>
      </c>
      <c r="D469" s="302">
        <f t="shared" ref="D469:D476" si="178">SUM(B469:C469)</f>
        <v>9.7453521649327843</v>
      </c>
      <c r="E469" s="303"/>
      <c r="F469" s="302">
        <v>3.9867883958826367</v>
      </c>
      <c r="G469" s="302">
        <v>8.6535545419294735</v>
      </c>
      <c r="H469" s="302">
        <f t="shared" ref="H469:H476" si="179">SUM(F469:G469)</f>
        <v>12.640342937812111</v>
      </c>
      <c r="I469" s="303"/>
      <c r="J469" s="302">
        <v>5.5021336999234132</v>
      </c>
      <c r="K469" s="302">
        <v>9.8893225456532026</v>
      </c>
      <c r="L469" s="302">
        <f t="shared" ref="L469:L476" si="180">SUM(J469:K469)</f>
        <v>15.391456245576617</v>
      </c>
      <c r="M469" s="236"/>
      <c r="N469" s="236"/>
    </row>
    <row r="470" spans="1:14" x14ac:dyDescent="0.3">
      <c r="A470" s="237" t="str">
        <f>name!E$6</f>
        <v>Associate professional occupations</v>
      </c>
      <c r="B470" s="302">
        <v>5.3294077922234946</v>
      </c>
      <c r="C470" s="302">
        <v>6.2331078538289386</v>
      </c>
      <c r="D470" s="302">
        <f t="shared" si="178"/>
        <v>11.562515646052432</v>
      </c>
      <c r="E470" s="303"/>
      <c r="F470" s="302">
        <v>5.9172992251970697</v>
      </c>
      <c r="G470" s="302">
        <v>7.5588012488536629</v>
      </c>
      <c r="H470" s="302">
        <f t="shared" si="179"/>
        <v>13.476100474050732</v>
      </c>
      <c r="I470" s="303"/>
      <c r="J470" s="302">
        <v>9.1685478082684089</v>
      </c>
      <c r="K470" s="302">
        <v>7.8511761497880261</v>
      </c>
      <c r="L470" s="302">
        <f t="shared" si="180"/>
        <v>17.019723958056435</v>
      </c>
      <c r="M470" s="236"/>
      <c r="N470" s="236"/>
    </row>
    <row r="471" spans="1:14" x14ac:dyDescent="0.3">
      <c r="A471" s="237" t="str">
        <f>name!E$7</f>
        <v>Administrative and secretarial occupations</v>
      </c>
      <c r="B471" s="302">
        <v>6.3302718898500441</v>
      </c>
      <c r="C471" s="302">
        <v>2.5113950638885156</v>
      </c>
      <c r="D471" s="302">
        <f t="shared" si="178"/>
        <v>8.8416669537385602</v>
      </c>
      <c r="E471" s="303"/>
      <c r="F471" s="302">
        <v>5.6863211823687179</v>
      </c>
      <c r="G471" s="302">
        <v>3.6685269226836685</v>
      </c>
      <c r="H471" s="302">
        <f t="shared" si="179"/>
        <v>9.3548481050523868</v>
      </c>
      <c r="I471" s="303"/>
      <c r="J471" s="302">
        <v>4.4138807084958565</v>
      </c>
      <c r="K471" s="302">
        <v>4.140695320491699</v>
      </c>
      <c r="L471" s="302">
        <f t="shared" si="180"/>
        <v>8.5545760289875545</v>
      </c>
      <c r="M471" s="236"/>
      <c r="N471" s="236"/>
    </row>
    <row r="472" spans="1:14" x14ac:dyDescent="0.3">
      <c r="A472" s="237" t="str">
        <f>name!E$8</f>
        <v>Skilled trades occupations</v>
      </c>
      <c r="B472" s="302">
        <v>1.3101895174257792</v>
      </c>
      <c r="C472" s="302">
        <v>8.9980691970934839</v>
      </c>
      <c r="D472" s="302">
        <f t="shared" si="178"/>
        <v>10.308258714519264</v>
      </c>
      <c r="E472" s="303"/>
      <c r="F472" s="302">
        <v>1.2005605179030072</v>
      </c>
      <c r="G472" s="302">
        <v>8.8148161121959276</v>
      </c>
      <c r="H472" s="302">
        <f t="shared" si="179"/>
        <v>10.015376630098935</v>
      </c>
      <c r="I472" s="303"/>
      <c r="J472" s="302">
        <v>2.4612217515249295</v>
      </c>
      <c r="K472" s="302">
        <v>9.0857790196246135</v>
      </c>
      <c r="L472" s="302">
        <f t="shared" si="180"/>
        <v>11.547000771149543</v>
      </c>
      <c r="M472" s="236"/>
      <c r="N472" s="236"/>
    </row>
    <row r="473" spans="1:14" x14ac:dyDescent="0.3">
      <c r="A473" s="237" t="str">
        <f>name!E$9</f>
        <v>Caring, leisure and other service occupations</v>
      </c>
      <c r="B473" s="302">
        <v>1.5270565598357901</v>
      </c>
      <c r="C473" s="302">
        <v>1.281730739009191</v>
      </c>
      <c r="D473" s="302">
        <f t="shared" si="178"/>
        <v>2.8087872988449814</v>
      </c>
      <c r="E473" s="303"/>
      <c r="F473" s="302">
        <v>1.393350858863261</v>
      </c>
      <c r="G473" s="302">
        <v>1.5894420852575566</v>
      </c>
      <c r="H473" s="302">
        <f t="shared" si="179"/>
        <v>2.9827929441208179</v>
      </c>
      <c r="I473" s="303"/>
      <c r="J473" s="302">
        <v>1.7494620623138504</v>
      </c>
      <c r="K473" s="302">
        <v>2.1333418580384831</v>
      </c>
      <c r="L473" s="302">
        <f t="shared" si="180"/>
        <v>3.8828039203523335</v>
      </c>
      <c r="M473" s="236"/>
      <c r="N473" s="236"/>
    </row>
    <row r="474" spans="1:14" x14ac:dyDescent="0.3">
      <c r="A474" s="237" t="str">
        <f>name!E$10</f>
        <v>Sales and customer service occupations</v>
      </c>
      <c r="B474" s="302">
        <v>1.2769621694895414</v>
      </c>
      <c r="C474" s="302">
        <v>1.9116402328086783</v>
      </c>
      <c r="D474" s="302">
        <f t="shared" si="178"/>
        <v>3.18860240229822</v>
      </c>
      <c r="E474" s="303"/>
      <c r="F474" s="302">
        <v>1.170648281668089</v>
      </c>
      <c r="G474" s="302">
        <v>2.5264591048261611</v>
      </c>
      <c r="H474" s="302">
        <f t="shared" si="179"/>
        <v>3.6971073864942499</v>
      </c>
      <c r="I474" s="303"/>
      <c r="J474" s="302">
        <v>1.2589035725704041</v>
      </c>
      <c r="K474" s="302">
        <v>2.9655151903427046</v>
      </c>
      <c r="L474" s="302">
        <f t="shared" si="180"/>
        <v>4.2244187629131087</v>
      </c>
      <c r="M474" s="236"/>
      <c r="N474" s="236"/>
    </row>
    <row r="475" spans="1:14" x14ac:dyDescent="0.3">
      <c r="A475" s="237" t="str">
        <f>name!E$11</f>
        <v>Process, plant and machine operatives</v>
      </c>
      <c r="B475" s="302">
        <v>1.7465410876833098</v>
      </c>
      <c r="C475" s="302">
        <v>26.502622932729498</v>
      </c>
      <c r="D475" s="302">
        <f t="shared" si="178"/>
        <v>28.249164020412806</v>
      </c>
      <c r="E475" s="303"/>
      <c r="F475" s="302">
        <v>1.3578960836470146</v>
      </c>
      <c r="G475" s="302">
        <v>26.183352536951496</v>
      </c>
      <c r="H475" s="302">
        <f t="shared" si="179"/>
        <v>27.541248620598509</v>
      </c>
      <c r="I475" s="303"/>
      <c r="J475" s="302">
        <v>1.6784149815537712</v>
      </c>
      <c r="K475" s="302">
        <v>31.489110996755038</v>
      </c>
      <c r="L475" s="302">
        <f t="shared" si="180"/>
        <v>33.167525978308809</v>
      </c>
      <c r="M475" s="236"/>
      <c r="N475" s="236"/>
    </row>
    <row r="476" spans="1:14" x14ac:dyDescent="0.3">
      <c r="A476" s="237" t="str">
        <f>name!E$12</f>
        <v>Elementary occupations</v>
      </c>
      <c r="B476" s="302">
        <v>2.7865932112876042</v>
      </c>
      <c r="C476" s="302">
        <v>20.277787110320265</v>
      </c>
      <c r="D476" s="302">
        <f t="shared" si="178"/>
        <v>23.064380321607871</v>
      </c>
      <c r="E476" s="303"/>
      <c r="F476" s="302">
        <v>2.0330681225237317</v>
      </c>
      <c r="G476" s="302">
        <v>19.311185564145507</v>
      </c>
      <c r="H476" s="302">
        <f t="shared" si="179"/>
        <v>21.344253686669241</v>
      </c>
      <c r="I476" s="303"/>
      <c r="J476" s="302">
        <v>1.5670730107686492</v>
      </c>
      <c r="K476" s="302">
        <v>18.07387552815225</v>
      </c>
      <c r="L476" s="302">
        <f t="shared" si="180"/>
        <v>19.640948538920899</v>
      </c>
      <c r="M476" s="236"/>
      <c r="N476" s="236"/>
    </row>
    <row r="477" spans="1:14" x14ac:dyDescent="0.3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3">
      <c r="A478" s="244" t="s">
        <v>32</v>
      </c>
      <c r="B478" s="311">
        <f>SUM(B468:B476)</f>
        <v>25.56499999991577</v>
      </c>
      <c r="C478" s="311">
        <f t="shared" ref="C478:D478" si="181">SUM(C468:C476)</f>
        <v>83.906000000260875</v>
      </c>
      <c r="D478" s="311">
        <f t="shared" si="181"/>
        <v>109.47100000017664</v>
      </c>
      <c r="E478" s="311"/>
      <c r="F478" s="311">
        <f t="shared" ref="F478:H478" si="182">SUM(F468:F476)</f>
        <v>24.950999999908106</v>
      </c>
      <c r="G478" s="311">
        <f t="shared" si="182"/>
        <v>90.709000000042195</v>
      </c>
      <c r="H478" s="311">
        <f t="shared" si="182"/>
        <v>115.65999999995032</v>
      </c>
      <c r="I478" s="311"/>
      <c r="J478" s="311">
        <f t="shared" ref="J478:L478" si="183">SUM(J468:J476)</f>
        <v>30.625000000100584</v>
      </c>
      <c r="K478" s="311">
        <f t="shared" si="183"/>
        <v>100.17600000021952</v>
      </c>
      <c r="L478" s="311">
        <f t="shared" si="183"/>
        <v>130.80100000032007</v>
      </c>
      <c r="M478" s="236"/>
      <c r="N478" s="236"/>
    </row>
    <row r="479" spans="1:14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3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3">
      <c r="A482" s="241" t="str">
        <f>name!A31</f>
        <v>Construction</v>
      </c>
      <c r="B482" s="373">
        <f>B$6</f>
        <v>2015</v>
      </c>
      <c r="C482" s="373"/>
      <c r="D482" s="373"/>
      <c r="E482" s="253"/>
      <c r="F482" s="373">
        <f>F465</f>
        <v>2020</v>
      </c>
      <c r="G482" s="373"/>
      <c r="H482" s="373"/>
      <c r="I482" s="253"/>
      <c r="J482" s="373">
        <f>J465</f>
        <v>2035</v>
      </c>
      <c r="K482" s="373"/>
      <c r="L482" s="373"/>
      <c r="M482" s="236"/>
      <c r="N482" s="236"/>
    </row>
    <row r="483" spans="1:14" x14ac:dyDescent="0.3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3">
      <c r="A485" s="237" t="str">
        <f>name!E$4</f>
        <v>Managers, directors and senior officials</v>
      </c>
      <c r="B485" s="302">
        <v>13.05538427796961</v>
      </c>
      <c r="C485" s="302">
        <v>40.750089433020712</v>
      </c>
      <c r="D485" s="302">
        <f>SUM(B485:C485)</f>
        <v>53.80547371099032</v>
      </c>
      <c r="E485" s="303"/>
      <c r="F485" s="302">
        <v>22.71864582236752</v>
      </c>
      <c r="G485" s="302">
        <v>62.186219359369979</v>
      </c>
      <c r="H485" s="302">
        <f>SUM(F485:G485)</f>
        <v>84.904865181737506</v>
      </c>
      <c r="I485" s="303"/>
      <c r="J485" s="302">
        <v>30.442640335481332</v>
      </c>
      <c r="K485" s="302">
        <v>70.573088387946953</v>
      </c>
      <c r="L485" s="302">
        <f>SUM(J485:K485)</f>
        <v>101.01572872342828</v>
      </c>
      <c r="M485" s="236"/>
      <c r="N485" s="236"/>
    </row>
    <row r="486" spans="1:14" x14ac:dyDescent="0.3">
      <c r="A486" s="237" t="str">
        <f>name!E$5</f>
        <v>Professional occupations</v>
      </c>
      <c r="B486" s="302">
        <v>12.989758350504413</v>
      </c>
      <c r="C486" s="302">
        <v>44.762646352987474</v>
      </c>
      <c r="D486" s="302">
        <f t="shared" ref="D486:D493" si="184">SUM(B486:C486)</f>
        <v>57.752404703491891</v>
      </c>
      <c r="E486" s="303"/>
      <c r="F486" s="302">
        <v>22.445678421102706</v>
      </c>
      <c r="G486" s="302">
        <v>71.357298047412115</v>
      </c>
      <c r="H486" s="302">
        <f t="shared" ref="H486:H493" si="185">SUM(F486:G486)</f>
        <v>93.802976468514828</v>
      </c>
      <c r="I486" s="303"/>
      <c r="J486" s="302">
        <v>32.834823368208369</v>
      </c>
      <c r="K486" s="302">
        <v>94.300247162712182</v>
      </c>
      <c r="L486" s="302">
        <f t="shared" ref="L486:L493" si="186">SUM(J486:K486)</f>
        <v>127.13507053092056</v>
      </c>
      <c r="M486" s="236"/>
      <c r="N486" s="236"/>
    </row>
    <row r="487" spans="1:14" x14ac:dyDescent="0.3">
      <c r="A487" s="237" t="str">
        <f>name!E$6</f>
        <v>Associate professional occupations</v>
      </c>
      <c r="B487" s="302">
        <v>11.943985370415048</v>
      </c>
      <c r="C487" s="302">
        <v>23.682175195589508</v>
      </c>
      <c r="D487" s="302">
        <f t="shared" si="184"/>
        <v>35.626160566004557</v>
      </c>
      <c r="E487" s="303"/>
      <c r="F487" s="302">
        <v>18.000865524813676</v>
      </c>
      <c r="G487" s="302">
        <v>36.188802596252735</v>
      </c>
      <c r="H487" s="302">
        <f t="shared" si="185"/>
        <v>54.189668121066411</v>
      </c>
      <c r="I487" s="303"/>
      <c r="J487" s="302">
        <v>23.195372712311247</v>
      </c>
      <c r="K487" s="302">
        <v>38.22850692143156</v>
      </c>
      <c r="L487" s="302">
        <f t="shared" si="186"/>
        <v>61.423879633742807</v>
      </c>
      <c r="M487" s="236"/>
      <c r="N487" s="236"/>
    </row>
    <row r="488" spans="1:14" x14ac:dyDescent="0.3">
      <c r="A488" s="237" t="str">
        <f>name!E$7</f>
        <v>Administrative and secretarial occupations</v>
      </c>
      <c r="B488" s="302">
        <v>46.520068729906413</v>
      </c>
      <c r="C488" s="302">
        <v>7.8346528192475882</v>
      </c>
      <c r="D488" s="302">
        <f t="shared" si="184"/>
        <v>54.354721549154</v>
      </c>
      <c r="E488" s="303"/>
      <c r="F488" s="302">
        <v>56.108604116595892</v>
      </c>
      <c r="G488" s="302">
        <v>10.565160314510791</v>
      </c>
      <c r="H488" s="302">
        <f t="shared" si="185"/>
        <v>66.67376443110669</v>
      </c>
      <c r="I488" s="303"/>
      <c r="J488" s="302">
        <v>47.970209369096295</v>
      </c>
      <c r="K488" s="302">
        <v>12.351335893182641</v>
      </c>
      <c r="L488" s="302">
        <f t="shared" si="186"/>
        <v>60.321545262278939</v>
      </c>
      <c r="M488" s="236"/>
      <c r="N488" s="236"/>
    </row>
    <row r="489" spans="1:14" x14ac:dyDescent="0.3">
      <c r="A489" s="237" t="str">
        <f>name!E$8</f>
        <v>Skilled trades occupations</v>
      </c>
      <c r="B489" s="302">
        <v>5.4033314031199238</v>
      </c>
      <c r="C489" s="302">
        <v>263.480589829314</v>
      </c>
      <c r="D489" s="302">
        <f t="shared" si="184"/>
        <v>268.88392123243392</v>
      </c>
      <c r="E489" s="303"/>
      <c r="F489" s="302">
        <v>8.8088690156591838</v>
      </c>
      <c r="G489" s="302">
        <v>258.30960683120009</v>
      </c>
      <c r="H489" s="302">
        <f t="shared" si="185"/>
        <v>267.11847584685927</v>
      </c>
      <c r="I489" s="303"/>
      <c r="J489" s="302">
        <v>16.930829732282273</v>
      </c>
      <c r="K489" s="302">
        <v>274.2187789969928</v>
      </c>
      <c r="L489" s="302">
        <f t="shared" si="186"/>
        <v>291.14960872927509</v>
      </c>
      <c r="M489" s="236"/>
      <c r="N489" s="236"/>
    </row>
    <row r="490" spans="1:14" x14ac:dyDescent="0.3">
      <c r="A490" s="237" t="str">
        <f>name!E$9</f>
        <v>Caring, leisure and other service occupations</v>
      </c>
      <c r="B490" s="302">
        <v>0.60718634831221419</v>
      </c>
      <c r="C490" s="302">
        <v>1.120791044947236</v>
      </c>
      <c r="D490" s="302">
        <f t="shared" si="184"/>
        <v>1.7279773932594502</v>
      </c>
      <c r="E490" s="303"/>
      <c r="F490" s="302">
        <v>0.81340860567231721</v>
      </c>
      <c r="G490" s="302">
        <v>1.7241672225083531</v>
      </c>
      <c r="H490" s="302">
        <f t="shared" si="185"/>
        <v>2.5375758281806702</v>
      </c>
      <c r="I490" s="303"/>
      <c r="J490" s="302">
        <v>1.0842904520415568</v>
      </c>
      <c r="K490" s="302">
        <v>1.9509408083401616</v>
      </c>
      <c r="L490" s="302">
        <f t="shared" si="186"/>
        <v>3.0352312603817184</v>
      </c>
      <c r="M490" s="236"/>
      <c r="N490" s="236"/>
    </row>
    <row r="491" spans="1:14" x14ac:dyDescent="0.3">
      <c r="A491" s="237" t="str">
        <f>name!E$10</f>
        <v>Sales and customer service occupations</v>
      </c>
      <c r="B491" s="302">
        <v>6.2185762967427891</v>
      </c>
      <c r="C491" s="302">
        <v>4.714126040046323</v>
      </c>
      <c r="D491" s="302">
        <f t="shared" si="184"/>
        <v>10.932702336789113</v>
      </c>
      <c r="E491" s="303"/>
      <c r="F491" s="302">
        <v>7.5498765233268736</v>
      </c>
      <c r="G491" s="302">
        <v>6.048289804844269</v>
      </c>
      <c r="H491" s="302">
        <f t="shared" si="185"/>
        <v>13.598166328171143</v>
      </c>
      <c r="I491" s="303"/>
      <c r="J491" s="302">
        <v>9.2050546197947405</v>
      </c>
      <c r="K491" s="302">
        <v>7.791481921105686</v>
      </c>
      <c r="L491" s="302">
        <f t="shared" si="186"/>
        <v>16.996536540900426</v>
      </c>
      <c r="M491" s="236"/>
      <c r="N491" s="236"/>
    </row>
    <row r="492" spans="1:14" x14ac:dyDescent="0.3">
      <c r="A492" s="237" t="str">
        <f>name!E$11</f>
        <v>Process, plant and machine operatives</v>
      </c>
      <c r="B492" s="302">
        <v>0.94570443460036613</v>
      </c>
      <c r="C492" s="302">
        <v>42.291694355259978</v>
      </c>
      <c r="D492" s="302">
        <f t="shared" si="184"/>
        <v>43.237398789860343</v>
      </c>
      <c r="E492" s="303"/>
      <c r="F492" s="302">
        <v>1.0433229389863654</v>
      </c>
      <c r="G492" s="302">
        <v>46.163443595564999</v>
      </c>
      <c r="H492" s="302">
        <f t="shared" si="185"/>
        <v>47.206766534551363</v>
      </c>
      <c r="I492" s="303"/>
      <c r="J492" s="302">
        <v>1.561866537277562</v>
      </c>
      <c r="K492" s="302">
        <v>59.240210657898963</v>
      </c>
      <c r="L492" s="302">
        <f t="shared" si="186"/>
        <v>60.802077195176523</v>
      </c>
      <c r="M492" s="236"/>
      <c r="N492" s="236"/>
    </row>
    <row r="493" spans="1:14" x14ac:dyDescent="0.3">
      <c r="A493" s="237" t="str">
        <f>name!E$12</f>
        <v>Elementary occupations</v>
      </c>
      <c r="B493" s="302">
        <v>3.6450047883638446</v>
      </c>
      <c r="C493" s="302">
        <v>28.675234924910821</v>
      </c>
      <c r="D493" s="302">
        <f t="shared" si="184"/>
        <v>32.320239713274667</v>
      </c>
      <c r="E493" s="303"/>
      <c r="F493" s="302">
        <v>3.3287290304376929</v>
      </c>
      <c r="G493" s="302">
        <v>30.557012220339079</v>
      </c>
      <c r="H493" s="302">
        <f t="shared" si="185"/>
        <v>33.885741250776775</v>
      </c>
      <c r="I493" s="303"/>
      <c r="J493" s="302">
        <v>2.9899128737582861</v>
      </c>
      <c r="K493" s="302">
        <v>32.748409233220826</v>
      </c>
      <c r="L493" s="302">
        <f t="shared" si="186"/>
        <v>35.738322106979112</v>
      </c>
      <c r="M493" s="236"/>
      <c r="N493" s="236"/>
    </row>
    <row r="494" spans="1:14" x14ac:dyDescent="0.3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3">
      <c r="A495" s="244" t="s">
        <v>32</v>
      </c>
      <c r="B495" s="311">
        <f>SUM(B485:B493)</f>
        <v>101.32899999993464</v>
      </c>
      <c r="C495" s="311">
        <f t="shared" ref="C495:D495" si="187">SUM(C485:C493)</f>
        <v>457.31199999532362</v>
      </c>
      <c r="D495" s="311">
        <f t="shared" si="187"/>
        <v>558.64099999525831</v>
      </c>
      <c r="E495" s="311"/>
      <c r="F495" s="311">
        <f t="shared" ref="F495:H495" si="188">SUM(F485:F493)</f>
        <v>140.81799999896225</v>
      </c>
      <c r="G495" s="311">
        <f t="shared" si="188"/>
        <v>523.09999999200238</v>
      </c>
      <c r="H495" s="311">
        <f t="shared" si="188"/>
        <v>663.91799999096463</v>
      </c>
      <c r="I495" s="311"/>
      <c r="J495" s="311">
        <f t="shared" ref="J495:L495" si="189">SUM(J485:J493)</f>
        <v>166.21500000025165</v>
      </c>
      <c r="K495" s="311">
        <f t="shared" si="189"/>
        <v>591.40299998283183</v>
      </c>
      <c r="L495" s="311">
        <f t="shared" si="189"/>
        <v>757.61799998308345</v>
      </c>
      <c r="M495" s="236"/>
      <c r="N495" s="236"/>
    </row>
    <row r="496" spans="1:14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3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3">
      <c r="A499" s="241" t="str">
        <f>name!A32</f>
        <v>Civil engineering</v>
      </c>
      <c r="B499" s="373">
        <f>B$6</f>
        <v>2015</v>
      </c>
      <c r="C499" s="373"/>
      <c r="D499" s="373"/>
      <c r="E499" s="253"/>
      <c r="F499" s="373">
        <f>F482</f>
        <v>2020</v>
      </c>
      <c r="G499" s="373"/>
      <c r="H499" s="373"/>
      <c r="I499" s="253"/>
      <c r="J499" s="373">
        <f>J482</f>
        <v>2035</v>
      </c>
      <c r="K499" s="373"/>
      <c r="L499" s="373"/>
      <c r="M499" s="236"/>
      <c r="N499" s="236"/>
    </row>
    <row r="500" spans="1:14" x14ac:dyDescent="0.3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3">
      <c r="A502" s="237" t="str">
        <f>name!E$4</f>
        <v>Managers, directors and senior officials</v>
      </c>
      <c r="B502" s="302">
        <v>2.8160134471004148</v>
      </c>
      <c r="C502" s="302">
        <v>19.58546068077845</v>
      </c>
      <c r="D502" s="302">
        <f>SUM(B502:C502)</f>
        <v>22.401474127878863</v>
      </c>
      <c r="E502" s="303"/>
      <c r="F502" s="302">
        <v>3.9016710894518769</v>
      </c>
      <c r="G502" s="302">
        <v>27.957169197408284</v>
      </c>
      <c r="H502" s="302">
        <f>SUM(F502:G502)</f>
        <v>31.858840286860161</v>
      </c>
      <c r="I502" s="303"/>
      <c r="J502" s="302">
        <v>5.3432642763571847</v>
      </c>
      <c r="K502" s="302">
        <v>31.23967053299484</v>
      </c>
      <c r="L502" s="302">
        <f>SUM(J502:K502)</f>
        <v>36.582934809352025</v>
      </c>
      <c r="M502" s="236"/>
      <c r="N502" s="236"/>
    </row>
    <row r="503" spans="1:14" x14ac:dyDescent="0.3">
      <c r="A503" s="237" t="str">
        <f>name!E$5</f>
        <v>Professional occupations</v>
      </c>
      <c r="B503" s="302">
        <v>2.5966938306066911</v>
      </c>
      <c r="C503" s="302">
        <v>21.830797799836603</v>
      </c>
      <c r="D503" s="302">
        <f t="shared" ref="D503:D510" si="190">SUM(B503:C503)</f>
        <v>24.427491630443292</v>
      </c>
      <c r="E503" s="303"/>
      <c r="F503" s="302">
        <v>3.7401088385407242</v>
      </c>
      <c r="G503" s="302">
        <v>31.394137605800992</v>
      </c>
      <c r="H503" s="302">
        <f t="shared" ref="H503:H510" si="191">SUM(F503:G503)</f>
        <v>35.134246444341713</v>
      </c>
      <c r="I503" s="303"/>
      <c r="J503" s="302">
        <v>5.3356981348996158</v>
      </c>
      <c r="K503" s="302">
        <v>40.679030782080268</v>
      </c>
      <c r="L503" s="302">
        <f t="shared" ref="L503:L510" si="192">SUM(J503:K503)</f>
        <v>46.014728916979884</v>
      </c>
      <c r="M503" s="236"/>
      <c r="N503" s="236"/>
    </row>
    <row r="504" spans="1:14" x14ac:dyDescent="0.3">
      <c r="A504" s="237" t="str">
        <f>name!E$6</f>
        <v>Associate professional occupations</v>
      </c>
      <c r="B504" s="302">
        <v>2.5349633331069752</v>
      </c>
      <c r="C504" s="302">
        <v>11.575914298908646</v>
      </c>
      <c r="D504" s="302">
        <f t="shared" si="190"/>
        <v>14.110877632015622</v>
      </c>
      <c r="E504" s="303"/>
      <c r="F504" s="302">
        <v>3.2349011848163647</v>
      </c>
      <c r="G504" s="302">
        <v>16.214436427245921</v>
      </c>
      <c r="H504" s="302">
        <f t="shared" si="191"/>
        <v>19.449337612062287</v>
      </c>
      <c r="I504" s="303"/>
      <c r="J504" s="302">
        <v>4.0702368761836256</v>
      </c>
      <c r="K504" s="302">
        <v>16.888627594802195</v>
      </c>
      <c r="L504" s="302">
        <f t="shared" si="192"/>
        <v>20.958864470985819</v>
      </c>
      <c r="M504" s="236"/>
      <c r="N504" s="236"/>
    </row>
    <row r="505" spans="1:14" x14ac:dyDescent="0.3">
      <c r="A505" s="237" t="str">
        <f>name!E$7</f>
        <v>Administrative and secretarial occupations</v>
      </c>
      <c r="B505" s="302">
        <v>10.212510268349359</v>
      </c>
      <c r="C505" s="302">
        <v>3.7666141435789693</v>
      </c>
      <c r="D505" s="302">
        <f t="shared" si="190"/>
        <v>13.979124411928328</v>
      </c>
      <c r="E505" s="303"/>
      <c r="F505" s="302">
        <v>10.427971396587601</v>
      </c>
      <c r="G505" s="302">
        <v>4.6776398726013921</v>
      </c>
      <c r="H505" s="302">
        <f t="shared" si="191"/>
        <v>15.105611269188994</v>
      </c>
      <c r="I505" s="303"/>
      <c r="J505" s="302">
        <v>9.2290272498109527</v>
      </c>
      <c r="K505" s="302">
        <v>5.4997579757049744</v>
      </c>
      <c r="L505" s="302">
        <f t="shared" si="192"/>
        <v>14.728785225515928</v>
      </c>
      <c r="M505" s="236"/>
      <c r="N505" s="236"/>
    </row>
    <row r="506" spans="1:14" x14ac:dyDescent="0.3">
      <c r="A506" s="237" t="str">
        <f>name!E$8</f>
        <v>Skilled trades occupations</v>
      </c>
      <c r="B506" s="302">
        <v>1.1011037099840029</v>
      </c>
      <c r="C506" s="302">
        <v>131.40101935848975</v>
      </c>
      <c r="D506" s="302">
        <f t="shared" si="190"/>
        <v>132.50212306847376</v>
      </c>
      <c r="E506" s="303"/>
      <c r="F506" s="302">
        <v>0.94718796828964247</v>
      </c>
      <c r="G506" s="302">
        <v>118.48944685448829</v>
      </c>
      <c r="H506" s="302">
        <f t="shared" si="191"/>
        <v>119.43663482277793</v>
      </c>
      <c r="I506" s="303"/>
      <c r="J506" s="302">
        <v>2.1350142485375092</v>
      </c>
      <c r="K506" s="302">
        <v>122.78177947550473</v>
      </c>
      <c r="L506" s="302">
        <f t="shared" si="192"/>
        <v>124.91679372404225</v>
      </c>
      <c r="M506" s="236"/>
      <c r="N506" s="236"/>
    </row>
    <row r="507" spans="1:14" x14ac:dyDescent="0.3">
      <c r="A507" s="237" t="str">
        <f>name!E$9</f>
        <v>Caring, leisure and other service occupations</v>
      </c>
      <c r="B507" s="302">
        <v>0.13031437002395829</v>
      </c>
      <c r="C507" s="302">
        <v>0.50700864060348549</v>
      </c>
      <c r="D507" s="302">
        <f t="shared" si="190"/>
        <v>0.63732301062744379</v>
      </c>
      <c r="E507" s="303"/>
      <c r="F507" s="302">
        <v>0.12963438859615112</v>
      </c>
      <c r="G507" s="302">
        <v>0.67866889899307947</v>
      </c>
      <c r="H507" s="302">
        <f t="shared" si="191"/>
        <v>0.80830328758923065</v>
      </c>
      <c r="I507" s="303"/>
      <c r="J507" s="302">
        <v>0.1708218531958538</v>
      </c>
      <c r="K507" s="302">
        <v>0.77804736565942823</v>
      </c>
      <c r="L507" s="302">
        <f t="shared" si="192"/>
        <v>0.94886921885528208</v>
      </c>
      <c r="M507" s="236"/>
      <c r="N507" s="236"/>
    </row>
    <row r="508" spans="1:14" x14ac:dyDescent="0.3">
      <c r="A508" s="237" t="str">
        <f>name!E$10</f>
        <v>Sales and customer service occupations</v>
      </c>
      <c r="B508" s="302">
        <v>1.4344245320782856</v>
      </c>
      <c r="C508" s="302">
        <v>2.2618982773927474</v>
      </c>
      <c r="D508" s="302">
        <f t="shared" si="190"/>
        <v>3.6963228094710328</v>
      </c>
      <c r="E508" s="303"/>
      <c r="F508" s="302">
        <v>1.5577998717732655</v>
      </c>
      <c r="G508" s="302">
        <v>2.7707468223374252</v>
      </c>
      <c r="H508" s="302">
        <f t="shared" si="191"/>
        <v>4.3285466941106909</v>
      </c>
      <c r="I508" s="303"/>
      <c r="J508" s="302">
        <v>1.8219207637287027</v>
      </c>
      <c r="K508" s="302">
        <v>3.484225109975716</v>
      </c>
      <c r="L508" s="302">
        <f t="shared" si="192"/>
        <v>5.3061458737044189</v>
      </c>
      <c r="M508" s="236"/>
      <c r="N508" s="236"/>
    </row>
    <row r="509" spans="1:14" x14ac:dyDescent="0.3">
      <c r="A509" s="237" t="str">
        <f>name!E$11</f>
        <v>Process, plant and machine operatives</v>
      </c>
      <c r="B509" s="302">
        <v>0.20964063071615729</v>
      </c>
      <c r="C509" s="302">
        <v>20.721980367244452</v>
      </c>
      <c r="D509" s="302">
        <f t="shared" si="190"/>
        <v>20.931620997960611</v>
      </c>
      <c r="E509" s="303"/>
      <c r="F509" s="302">
        <v>0.17632605430336137</v>
      </c>
      <c r="G509" s="302">
        <v>20.996490237735991</v>
      </c>
      <c r="H509" s="302">
        <f t="shared" si="191"/>
        <v>21.172816292039354</v>
      </c>
      <c r="I509" s="303"/>
      <c r="J509" s="302">
        <v>0.26838020327409462</v>
      </c>
      <c r="K509" s="302">
        <v>26.656887732184106</v>
      </c>
      <c r="L509" s="302">
        <f t="shared" si="192"/>
        <v>26.925267935458201</v>
      </c>
      <c r="M509" s="236"/>
      <c r="N509" s="236"/>
    </row>
    <row r="510" spans="1:14" x14ac:dyDescent="0.3">
      <c r="A510" s="237" t="str">
        <f>name!E$12</f>
        <v>Elementary occupations</v>
      </c>
      <c r="B510" s="302">
        <v>0.91733587804804129</v>
      </c>
      <c r="C510" s="302">
        <v>13.387306430671575</v>
      </c>
      <c r="D510" s="302">
        <f t="shared" si="190"/>
        <v>14.304642308719616</v>
      </c>
      <c r="E510" s="303"/>
      <c r="F510" s="302">
        <v>0.76639920751292501</v>
      </c>
      <c r="G510" s="302">
        <v>13.229264080267081</v>
      </c>
      <c r="H510" s="302">
        <f t="shared" si="191"/>
        <v>13.995663287780006</v>
      </c>
      <c r="I510" s="303"/>
      <c r="J510" s="302">
        <v>0.72163639408976177</v>
      </c>
      <c r="K510" s="302">
        <v>14.362973423938001</v>
      </c>
      <c r="L510" s="302">
        <f t="shared" si="192"/>
        <v>15.084609818027763</v>
      </c>
      <c r="M510" s="236"/>
      <c r="N510" s="236"/>
    </row>
    <row r="511" spans="1:14" x14ac:dyDescent="0.3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3">
      <c r="A512" s="244" t="s">
        <v>32</v>
      </c>
      <c r="B512" s="311">
        <f>SUM(B502:B510)</f>
        <v>21.953000000013887</v>
      </c>
      <c r="C512" s="311">
        <f t="shared" ref="C512:D512" si="193">SUM(C502:C510)</f>
        <v>225.03799999750467</v>
      </c>
      <c r="D512" s="311">
        <f t="shared" si="193"/>
        <v>246.9909999975186</v>
      </c>
      <c r="E512" s="311"/>
      <c r="F512" s="311">
        <f t="shared" ref="F512:H512" si="194">SUM(F502:F510)</f>
        <v>24.881999999871919</v>
      </c>
      <c r="G512" s="311">
        <f t="shared" si="194"/>
        <v>236.40799999687846</v>
      </c>
      <c r="H512" s="311">
        <f t="shared" si="194"/>
        <v>261.28999999675034</v>
      </c>
      <c r="I512" s="311"/>
      <c r="J512" s="311">
        <f t="shared" ref="J512:L512" si="195">SUM(J502:J510)</f>
        <v>29.0960000000773</v>
      </c>
      <c r="K512" s="311">
        <f t="shared" si="195"/>
        <v>262.3709999928443</v>
      </c>
      <c r="L512" s="311">
        <f t="shared" si="195"/>
        <v>291.46699999292161</v>
      </c>
      <c r="M512" s="236"/>
      <c r="N512" s="236"/>
    </row>
    <row r="513" spans="1:14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3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3">
      <c r="A516" s="241" t="str">
        <f>name!A33</f>
        <v>Specialised construction</v>
      </c>
      <c r="B516" s="373">
        <f>B$6</f>
        <v>2015</v>
      </c>
      <c r="C516" s="373"/>
      <c r="D516" s="373"/>
      <c r="E516" s="253"/>
      <c r="F516" s="373">
        <f>F499</f>
        <v>2020</v>
      </c>
      <c r="G516" s="373"/>
      <c r="H516" s="373"/>
      <c r="I516" s="253"/>
      <c r="J516" s="373">
        <f>J499</f>
        <v>2035</v>
      </c>
      <c r="K516" s="373"/>
      <c r="L516" s="373"/>
      <c r="M516" s="236"/>
      <c r="N516" s="236"/>
    </row>
    <row r="517" spans="1:14" x14ac:dyDescent="0.3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3">
      <c r="A519" s="237" t="str">
        <f>name!E$4</f>
        <v>Managers, directors and senior officials</v>
      </c>
      <c r="B519" s="302">
        <v>15.313294989389476</v>
      </c>
      <c r="C519" s="302">
        <v>76.634325787320378</v>
      </c>
      <c r="D519" s="302">
        <f>SUM(B519:C519)</f>
        <v>91.947620776709854</v>
      </c>
      <c r="E519" s="303"/>
      <c r="F519" s="302">
        <v>22.703776744521814</v>
      </c>
      <c r="G519" s="302">
        <v>107.72503229928829</v>
      </c>
      <c r="H519" s="302">
        <f>SUM(F519:G519)</f>
        <v>130.42880904381011</v>
      </c>
      <c r="I519" s="303"/>
      <c r="J519" s="302">
        <v>29.855600466431362</v>
      </c>
      <c r="K519" s="302">
        <v>120.69316474932047</v>
      </c>
      <c r="L519" s="302">
        <f>SUM(J519:K519)</f>
        <v>150.54876521575184</v>
      </c>
      <c r="M519" s="236"/>
      <c r="N519" s="236"/>
    </row>
    <row r="520" spans="1:14" x14ac:dyDescent="0.3">
      <c r="A520" s="237" t="str">
        <f>name!E$5</f>
        <v>Professional occupations</v>
      </c>
      <c r="B520" s="302">
        <v>13.479349260299198</v>
      </c>
      <c r="C520" s="302">
        <v>86.339028350571809</v>
      </c>
      <c r="D520" s="302">
        <f t="shared" ref="D520:D527" si="196">SUM(B520:C520)</f>
        <v>99.818377610871011</v>
      </c>
      <c r="E520" s="303"/>
      <c r="F520" s="302">
        <v>20.238879779747222</v>
      </c>
      <c r="G520" s="302">
        <v>123.33016430093986</v>
      </c>
      <c r="H520" s="302">
        <f t="shared" ref="H520:H527" si="197">SUM(F520:G520)</f>
        <v>143.56904408068709</v>
      </c>
      <c r="I520" s="303"/>
      <c r="J520" s="302">
        <v>28.673907751783926</v>
      </c>
      <c r="K520" s="302">
        <v>159.16358908169275</v>
      </c>
      <c r="L520" s="302">
        <f t="shared" ref="L520:L527" si="198">SUM(J520:K520)</f>
        <v>187.83749683347668</v>
      </c>
      <c r="M520" s="236"/>
      <c r="N520" s="236"/>
    </row>
    <row r="521" spans="1:14" x14ac:dyDescent="0.3">
      <c r="A521" s="237" t="str">
        <f>name!E$6</f>
        <v>Associate professional occupations</v>
      </c>
      <c r="B521" s="302">
        <v>13.545341864686579</v>
      </c>
      <c r="C521" s="302">
        <v>44.86804318626244</v>
      </c>
      <c r="D521" s="302">
        <f t="shared" si="196"/>
        <v>58.413385050949017</v>
      </c>
      <c r="E521" s="303"/>
      <c r="F521" s="302">
        <v>17.824143816996926</v>
      </c>
      <c r="G521" s="302">
        <v>62.048198227293831</v>
      </c>
      <c r="H521" s="302">
        <f t="shared" si="197"/>
        <v>79.872342044290761</v>
      </c>
      <c r="I521" s="303"/>
      <c r="J521" s="302">
        <v>22.375350742922443</v>
      </c>
      <c r="K521" s="302">
        <v>64.498250615700101</v>
      </c>
      <c r="L521" s="302">
        <f t="shared" si="198"/>
        <v>86.873601358622551</v>
      </c>
      <c r="M521" s="236"/>
      <c r="N521" s="236"/>
    </row>
    <row r="522" spans="1:14" x14ac:dyDescent="0.3">
      <c r="A522" s="237" t="str">
        <f>name!E$7</f>
        <v>Administrative and secretarial occupations</v>
      </c>
      <c r="B522" s="302">
        <v>60.651659642773012</v>
      </c>
      <c r="C522" s="302">
        <v>14.902669608867003</v>
      </c>
      <c r="D522" s="302">
        <f t="shared" si="196"/>
        <v>75.554329251640013</v>
      </c>
      <c r="E522" s="303"/>
      <c r="F522" s="302">
        <v>66.049045702972734</v>
      </c>
      <c r="G522" s="302">
        <v>19.962850905247279</v>
      </c>
      <c r="H522" s="302">
        <f t="shared" si="197"/>
        <v>86.011896608220013</v>
      </c>
      <c r="I522" s="303"/>
      <c r="J522" s="302">
        <v>61.983392542492197</v>
      </c>
      <c r="K522" s="302">
        <v>23.467627257926992</v>
      </c>
      <c r="L522" s="302">
        <f t="shared" si="198"/>
        <v>85.451019800419189</v>
      </c>
      <c r="M522" s="236"/>
      <c r="N522" s="236"/>
    </row>
    <row r="523" spans="1:14" x14ac:dyDescent="0.3">
      <c r="A523" s="237" t="str">
        <f>name!E$8</f>
        <v>Skilled trades occupations</v>
      </c>
      <c r="B523" s="302">
        <v>5.4150680879120641</v>
      </c>
      <c r="C523" s="302">
        <v>500.11980305890216</v>
      </c>
      <c r="D523" s="302">
        <f t="shared" si="196"/>
        <v>505.53487114681423</v>
      </c>
      <c r="E523" s="303"/>
      <c r="F523" s="302">
        <v>6.1607009529755787</v>
      </c>
      <c r="G523" s="302">
        <v>460.24388806809259</v>
      </c>
      <c r="H523" s="302">
        <f t="shared" si="197"/>
        <v>466.40458902106815</v>
      </c>
      <c r="I523" s="303"/>
      <c r="J523" s="302">
        <v>12.151799998309601</v>
      </c>
      <c r="K523" s="302">
        <v>478.92755213165287</v>
      </c>
      <c r="L523" s="302">
        <f t="shared" si="198"/>
        <v>491.0793521299625</v>
      </c>
      <c r="M523" s="236"/>
      <c r="N523" s="236"/>
    </row>
    <row r="524" spans="1:14" x14ac:dyDescent="0.3">
      <c r="A524" s="237" t="str">
        <f>name!E$9</f>
        <v>Caring, leisure and other service occupations</v>
      </c>
      <c r="B524" s="302">
        <v>0.73940373774802803</v>
      </c>
      <c r="C524" s="302">
        <v>1.9362725069050311</v>
      </c>
      <c r="D524" s="302">
        <f t="shared" si="196"/>
        <v>2.6756762446530589</v>
      </c>
      <c r="E524" s="303"/>
      <c r="F524" s="302">
        <v>0.77987038928703056</v>
      </c>
      <c r="G524" s="302">
        <v>2.7491108624894385</v>
      </c>
      <c r="H524" s="302">
        <f t="shared" si="197"/>
        <v>3.5289812517764689</v>
      </c>
      <c r="I524" s="303"/>
      <c r="J524" s="302">
        <v>0.94315029677213913</v>
      </c>
      <c r="K524" s="302">
        <v>3.1150900349791617</v>
      </c>
      <c r="L524" s="302">
        <f t="shared" si="198"/>
        <v>4.0582403317513007</v>
      </c>
      <c r="M524" s="236"/>
      <c r="N524" s="236"/>
    </row>
    <row r="525" spans="1:14" x14ac:dyDescent="0.3">
      <c r="A525" s="237" t="str">
        <f>name!E$10</f>
        <v>Sales and customer service occupations</v>
      </c>
      <c r="B525" s="302">
        <v>8.2841151355938614</v>
      </c>
      <c r="C525" s="302">
        <v>9.0019936759471015</v>
      </c>
      <c r="D525" s="302">
        <f t="shared" si="196"/>
        <v>17.286108811540963</v>
      </c>
      <c r="E525" s="303"/>
      <c r="F525" s="302">
        <v>9.4438928352770777</v>
      </c>
      <c r="G525" s="302">
        <v>10.980838743558634</v>
      </c>
      <c r="H525" s="302">
        <f t="shared" si="197"/>
        <v>20.424731578835711</v>
      </c>
      <c r="I525" s="303"/>
      <c r="J525" s="302">
        <v>11.193420098680095</v>
      </c>
      <c r="K525" s="302">
        <v>14.009245628069021</v>
      </c>
      <c r="L525" s="302">
        <f t="shared" si="198"/>
        <v>25.202665726749117</v>
      </c>
      <c r="M525" s="236"/>
      <c r="N525" s="236"/>
    </row>
    <row r="526" spans="1:14" x14ac:dyDescent="0.3">
      <c r="A526" s="237" t="str">
        <f>name!E$11</f>
        <v>Process, plant and machine operatives</v>
      </c>
      <c r="B526" s="302">
        <v>1.0470616720567261</v>
      </c>
      <c r="C526" s="302">
        <v>82.639576177337773</v>
      </c>
      <c r="D526" s="302">
        <f t="shared" si="196"/>
        <v>83.686637849394501</v>
      </c>
      <c r="E526" s="303"/>
      <c r="F526" s="302">
        <v>0.96438759629225657</v>
      </c>
      <c r="G526" s="302">
        <v>83.227673822023533</v>
      </c>
      <c r="H526" s="302">
        <f t="shared" si="197"/>
        <v>84.192061418315788</v>
      </c>
      <c r="I526" s="303"/>
      <c r="J526" s="302">
        <v>1.4640799781718317</v>
      </c>
      <c r="K526" s="302">
        <v>106.39295398597626</v>
      </c>
      <c r="L526" s="302">
        <f t="shared" si="198"/>
        <v>107.8570339641481</v>
      </c>
      <c r="M526" s="236"/>
      <c r="N526" s="236"/>
    </row>
    <row r="527" spans="1:14" x14ac:dyDescent="0.3">
      <c r="A527" s="237" t="str">
        <f>name!E$12</f>
        <v>Elementary occupations</v>
      </c>
      <c r="B527" s="302">
        <v>6.0337056097530768</v>
      </c>
      <c r="C527" s="302">
        <v>53.771287637244292</v>
      </c>
      <c r="D527" s="302">
        <f t="shared" si="196"/>
        <v>59.80499324699737</v>
      </c>
      <c r="E527" s="303"/>
      <c r="F527" s="302">
        <v>5.1953021814123854</v>
      </c>
      <c r="G527" s="302">
        <v>54.959242757547266</v>
      </c>
      <c r="H527" s="302">
        <f t="shared" si="197"/>
        <v>60.154544938959653</v>
      </c>
      <c r="I527" s="303"/>
      <c r="J527" s="302">
        <v>4.5502981244863108</v>
      </c>
      <c r="K527" s="302">
        <v>59.373526485447812</v>
      </c>
      <c r="L527" s="302">
        <f t="shared" si="198"/>
        <v>63.923824609934123</v>
      </c>
      <c r="M527" s="236"/>
      <c r="N527" s="236"/>
    </row>
    <row r="528" spans="1:14" x14ac:dyDescent="0.3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3">
      <c r="A529" s="244" t="s">
        <v>32</v>
      </c>
      <c r="B529" s="311">
        <f>SUM(B519:B527)</f>
        <v>124.50900000021203</v>
      </c>
      <c r="C529" s="311">
        <f t="shared" ref="C529:D529" si="199">SUM(C519:C527)</f>
        <v>870.21299998935808</v>
      </c>
      <c r="D529" s="311">
        <f t="shared" si="199"/>
        <v>994.72199998957001</v>
      </c>
      <c r="E529" s="311"/>
      <c r="F529" s="311">
        <f t="shared" ref="F529:H529" si="200">SUM(F519:F527)</f>
        <v>149.35999999948302</v>
      </c>
      <c r="G529" s="311">
        <f t="shared" si="200"/>
        <v>925.22699998648079</v>
      </c>
      <c r="H529" s="311">
        <f t="shared" si="200"/>
        <v>1074.5869999859638</v>
      </c>
      <c r="I529" s="311"/>
      <c r="J529" s="311">
        <f t="shared" ref="J529:L529" si="201">SUM(J519:J527)</f>
        <v>173.19100000004991</v>
      </c>
      <c r="K529" s="311">
        <f t="shared" si="201"/>
        <v>1029.6409999707655</v>
      </c>
      <c r="L529" s="311">
        <f t="shared" si="201"/>
        <v>1202.8319999708156</v>
      </c>
      <c r="M529" s="236"/>
      <c r="N529" s="236"/>
    </row>
    <row r="530" spans="1:14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3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3">
      <c r="A533" s="241" t="str">
        <f>name!A34</f>
        <v>Motor vehicle trade</v>
      </c>
      <c r="B533" s="373">
        <f>B$6</f>
        <v>2015</v>
      </c>
      <c r="C533" s="373"/>
      <c r="D533" s="373"/>
      <c r="E533" s="253"/>
      <c r="F533" s="373">
        <f>F516</f>
        <v>2020</v>
      </c>
      <c r="G533" s="373"/>
      <c r="H533" s="373"/>
      <c r="I533" s="253"/>
      <c r="J533" s="373">
        <f>J516</f>
        <v>2035</v>
      </c>
      <c r="K533" s="373"/>
      <c r="L533" s="373"/>
      <c r="M533" s="236"/>
      <c r="N533" s="236"/>
    </row>
    <row r="534" spans="1:14" x14ac:dyDescent="0.3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3">
      <c r="A536" s="237" t="str">
        <f>name!E$4</f>
        <v>Managers, directors and senior officials</v>
      </c>
      <c r="B536" s="302">
        <v>5.5574943022159751</v>
      </c>
      <c r="C536" s="302">
        <v>47.274005335366297</v>
      </c>
      <c r="D536" s="302">
        <f>SUM(B536:C536)</f>
        <v>52.831499637582269</v>
      </c>
      <c r="E536" s="303"/>
      <c r="F536" s="302">
        <v>8.1922161104953215</v>
      </c>
      <c r="G536" s="302">
        <v>56.975577887302322</v>
      </c>
      <c r="H536" s="302">
        <f>SUM(F536:G536)</f>
        <v>65.167793997797645</v>
      </c>
      <c r="I536" s="303"/>
      <c r="J536" s="302">
        <v>10.565864797671896</v>
      </c>
      <c r="K536" s="302">
        <v>69.669651547488698</v>
      </c>
      <c r="L536" s="302">
        <f>SUM(J536:K536)</f>
        <v>80.23551634516059</v>
      </c>
      <c r="M536" s="236"/>
      <c r="N536" s="236"/>
    </row>
    <row r="537" spans="1:14" x14ac:dyDescent="0.3">
      <c r="A537" s="237" t="str">
        <f>name!E$5</f>
        <v>Professional occupations</v>
      </c>
      <c r="B537" s="302">
        <v>4.4591102984591071</v>
      </c>
      <c r="C537" s="302">
        <v>18.058106044615027</v>
      </c>
      <c r="D537" s="302">
        <f t="shared" ref="D537:D544" si="202">SUM(B537:C537)</f>
        <v>22.517216343074132</v>
      </c>
      <c r="E537" s="303"/>
      <c r="F537" s="302">
        <v>6.9634165590979844</v>
      </c>
      <c r="G537" s="302">
        <v>25.808889587816115</v>
      </c>
      <c r="H537" s="302">
        <f t="shared" ref="H537:H544" si="203">SUM(F537:G537)</f>
        <v>32.772306146914097</v>
      </c>
      <c r="I537" s="303"/>
      <c r="J537" s="302">
        <v>9.2102039289350177</v>
      </c>
      <c r="K537" s="302">
        <v>34.329086653865467</v>
      </c>
      <c r="L537" s="302">
        <f t="shared" ref="L537:L544" si="204">SUM(J537:K537)</f>
        <v>43.539290582800483</v>
      </c>
      <c r="M537" s="236"/>
      <c r="N537" s="236"/>
    </row>
    <row r="538" spans="1:14" x14ac:dyDescent="0.3">
      <c r="A538" s="237" t="str">
        <f>name!E$6</f>
        <v>Associate professional occupations</v>
      </c>
      <c r="B538" s="302">
        <v>7.3631499717745852</v>
      </c>
      <c r="C538" s="302">
        <v>23.707598693957511</v>
      </c>
      <c r="D538" s="302">
        <f t="shared" si="202"/>
        <v>31.070748665732097</v>
      </c>
      <c r="E538" s="303"/>
      <c r="F538" s="302">
        <v>9.6725079121236934</v>
      </c>
      <c r="G538" s="302">
        <v>30.290183076091314</v>
      </c>
      <c r="H538" s="302">
        <f t="shared" si="203"/>
        <v>39.962690988215009</v>
      </c>
      <c r="I538" s="303"/>
      <c r="J538" s="302">
        <v>11.415640242998595</v>
      </c>
      <c r="K538" s="302">
        <v>32.66014176590533</v>
      </c>
      <c r="L538" s="302">
        <f t="shared" si="204"/>
        <v>44.075782008903928</v>
      </c>
      <c r="M538" s="236"/>
      <c r="N538" s="236"/>
    </row>
    <row r="539" spans="1:14" x14ac:dyDescent="0.3">
      <c r="A539" s="237" t="str">
        <f>name!E$7</f>
        <v>Administrative and secretarial occupations</v>
      </c>
      <c r="B539" s="302">
        <v>29.098241749168938</v>
      </c>
      <c r="C539" s="302">
        <v>24.499270637346061</v>
      </c>
      <c r="D539" s="302">
        <f t="shared" si="202"/>
        <v>53.597512386515</v>
      </c>
      <c r="E539" s="303"/>
      <c r="F539" s="302">
        <v>31.75581955806301</v>
      </c>
      <c r="G539" s="302">
        <v>29.322039997634366</v>
      </c>
      <c r="H539" s="302">
        <f t="shared" si="203"/>
        <v>61.077859555697373</v>
      </c>
      <c r="I539" s="303"/>
      <c r="J539" s="302">
        <v>24.710761711534381</v>
      </c>
      <c r="K539" s="302">
        <v>37.237983166098218</v>
      </c>
      <c r="L539" s="302">
        <f t="shared" si="204"/>
        <v>61.948744877632599</v>
      </c>
      <c r="M539" s="236"/>
      <c r="N539" s="236"/>
    </row>
    <row r="540" spans="1:14" x14ac:dyDescent="0.3">
      <c r="A540" s="237" t="str">
        <f>name!E$8</f>
        <v>Skilled trades occupations</v>
      </c>
      <c r="B540" s="302">
        <v>2.0498420074737504</v>
      </c>
      <c r="C540" s="302">
        <v>178.792513292574</v>
      </c>
      <c r="D540" s="302">
        <f t="shared" si="202"/>
        <v>180.84235530004776</v>
      </c>
      <c r="E540" s="303"/>
      <c r="F540" s="302">
        <v>2.6280359318799085</v>
      </c>
      <c r="G540" s="302">
        <v>161.93781843105509</v>
      </c>
      <c r="H540" s="302">
        <f t="shared" si="203"/>
        <v>164.565854362935</v>
      </c>
      <c r="I540" s="303"/>
      <c r="J540" s="302">
        <v>3.5755048334852852</v>
      </c>
      <c r="K540" s="302">
        <v>155.1971903322559</v>
      </c>
      <c r="L540" s="302">
        <f t="shared" si="204"/>
        <v>158.7726951657412</v>
      </c>
      <c r="M540" s="236"/>
      <c r="N540" s="236"/>
    </row>
    <row r="541" spans="1:14" x14ac:dyDescent="0.3">
      <c r="A541" s="237" t="str">
        <f>name!E$9</f>
        <v>Caring, leisure and other service occupations</v>
      </c>
      <c r="B541" s="302">
        <v>12.154863605172403</v>
      </c>
      <c r="C541" s="302">
        <v>1.4174498545218814</v>
      </c>
      <c r="D541" s="302">
        <f t="shared" si="202"/>
        <v>13.572313459694286</v>
      </c>
      <c r="E541" s="303"/>
      <c r="F541" s="302">
        <v>13.348821371483355</v>
      </c>
      <c r="G541" s="302">
        <v>1.7036922982486655</v>
      </c>
      <c r="H541" s="302">
        <f t="shared" si="203"/>
        <v>15.05251366973202</v>
      </c>
      <c r="I541" s="303"/>
      <c r="J541" s="302">
        <v>19.393590312251575</v>
      </c>
      <c r="K541" s="302">
        <v>2.4070206242320862</v>
      </c>
      <c r="L541" s="302">
        <f t="shared" si="204"/>
        <v>21.800610936483661</v>
      </c>
      <c r="M541" s="236"/>
      <c r="N541" s="236"/>
    </row>
    <row r="542" spans="1:14" x14ac:dyDescent="0.3">
      <c r="A542" s="237" t="str">
        <f>name!E$10</f>
        <v>Sales and customer service occupations</v>
      </c>
      <c r="B542" s="302">
        <v>22.183557491602453</v>
      </c>
      <c r="C542" s="302">
        <v>59.089561225647358</v>
      </c>
      <c r="D542" s="302">
        <f t="shared" si="202"/>
        <v>81.273118717249815</v>
      </c>
      <c r="E542" s="303"/>
      <c r="F542" s="302">
        <v>22.22451090084521</v>
      </c>
      <c r="G542" s="302">
        <v>61.789708447313096</v>
      </c>
      <c r="H542" s="302">
        <f t="shared" si="203"/>
        <v>84.014219348158306</v>
      </c>
      <c r="I542" s="303"/>
      <c r="J542" s="302">
        <v>20.396210631626666</v>
      </c>
      <c r="K542" s="302">
        <v>64.241336176767476</v>
      </c>
      <c r="L542" s="302">
        <f t="shared" si="204"/>
        <v>84.637546808394148</v>
      </c>
      <c r="M542" s="236"/>
      <c r="N542" s="236"/>
    </row>
    <row r="543" spans="1:14" x14ac:dyDescent="0.3">
      <c r="A543" s="237" t="str">
        <f>name!E$11</f>
        <v>Process, plant and machine operatives</v>
      </c>
      <c r="B543" s="302">
        <v>3.3310728261008657</v>
      </c>
      <c r="C543" s="302">
        <v>30.550470879647033</v>
      </c>
      <c r="D543" s="302">
        <f t="shared" si="202"/>
        <v>33.881543705747902</v>
      </c>
      <c r="E543" s="303"/>
      <c r="F543" s="302">
        <v>3.1236845830445961</v>
      </c>
      <c r="G543" s="302">
        <v>28.81993272571259</v>
      </c>
      <c r="H543" s="302">
        <f t="shared" si="203"/>
        <v>31.943617308757187</v>
      </c>
      <c r="I543" s="303"/>
      <c r="J543" s="302">
        <v>5.6457251762694955</v>
      </c>
      <c r="K543" s="302">
        <v>32.710164504843604</v>
      </c>
      <c r="L543" s="302">
        <f t="shared" si="204"/>
        <v>38.355889681113098</v>
      </c>
      <c r="M543" s="236"/>
      <c r="N543" s="236"/>
    </row>
    <row r="544" spans="1:14" x14ac:dyDescent="0.3">
      <c r="A544" s="237" t="str">
        <f>name!E$12</f>
        <v>Elementary occupations</v>
      </c>
      <c r="B544" s="302">
        <v>4.3446677490621823</v>
      </c>
      <c r="C544" s="302">
        <v>19.011024038449065</v>
      </c>
      <c r="D544" s="302">
        <f t="shared" si="202"/>
        <v>23.355691787511248</v>
      </c>
      <c r="E544" s="303"/>
      <c r="F544" s="302">
        <v>4.5359870734391325</v>
      </c>
      <c r="G544" s="302">
        <v>17.79115754905342</v>
      </c>
      <c r="H544" s="302">
        <f t="shared" si="203"/>
        <v>22.327144622492554</v>
      </c>
      <c r="I544" s="303"/>
      <c r="J544" s="302">
        <v>4.1134983641615728</v>
      </c>
      <c r="K544" s="302">
        <v>15.960425230218339</v>
      </c>
      <c r="L544" s="302">
        <f t="shared" si="204"/>
        <v>20.073923594379913</v>
      </c>
      <c r="M544" s="236"/>
      <c r="N544" s="236"/>
    </row>
    <row r="545" spans="1:14" x14ac:dyDescent="0.3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3">
      <c r="A546" s="244" t="s">
        <v>32</v>
      </c>
      <c r="B546" s="311">
        <f>SUM(B536:B544)</f>
        <v>90.54200000103026</v>
      </c>
      <c r="C546" s="311">
        <f t="shared" ref="C546:D546" si="205">SUM(C536:C544)</f>
        <v>402.40000000212422</v>
      </c>
      <c r="D546" s="311">
        <f t="shared" si="205"/>
        <v>492.94200000315448</v>
      </c>
      <c r="E546" s="311"/>
      <c r="F546" s="311">
        <f t="shared" ref="F546:H546" si="206">SUM(F536:F544)</f>
        <v>102.44500000047221</v>
      </c>
      <c r="G546" s="311">
        <f t="shared" si="206"/>
        <v>414.43900000022694</v>
      </c>
      <c r="H546" s="311">
        <f t="shared" si="206"/>
        <v>516.88400000069919</v>
      </c>
      <c r="I546" s="311"/>
      <c r="J546" s="311">
        <f t="shared" ref="J546:L546" si="207">SUM(J536:J544)</f>
        <v>109.02699999893449</v>
      </c>
      <c r="K546" s="311">
        <f t="shared" si="207"/>
        <v>444.41300000167513</v>
      </c>
      <c r="L546" s="311">
        <f t="shared" si="207"/>
        <v>553.44000000060964</v>
      </c>
      <c r="M546" s="236"/>
      <c r="N546" s="236"/>
    </row>
    <row r="547" spans="1:14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3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3">
      <c r="A550" s="241" t="str">
        <f>name!A35</f>
        <v>Wholesale trade</v>
      </c>
      <c r="B550" s="373">
        <f>B$6</f>
        <v>2015</v>
      </c>
      <c r="C550" s="373"/>
      <c r="D550" s="373"/>
      <c r="E550" s="253"/>
      <c r="F550" s="373">
        <f>F533</f>
        <v>2020</v>
      </c>
      <c r="G550" s="373"/>
      <c r="H550" s="373"/>
      <c r="I550" s="253"/>
      <c r="J550" s="373">
        <f>J533</f>
        <v>2035</v>
      </c>
      <c r="K550" s="373"/>
      <c r="L550" s="373"/>
      <c r="M550" s="236"/>
      <c r="N550" s="236"/>
    </row>
    <row r="551" spans="1:14" x14ac:dyDescent="0.3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3">
      <c r="A553" s="237" t="str">
        <f>name!E$4</f>
        <v>Managers, directors and senior officials</v>
      </c>
      <c r="B553" s="302">
        <v>38.303815609000416</v>
      </c>
      <c r="C553" s="302">
        <v>145.91611232138098</v>
      </c>
      <c r="D553" s="302">
        <f>SUM(B553:C553)</f>
        <v>184.2199279303814</v>
      </c>
      <c r="E553" s="303"/>
      <c r="F553" s="302">
        <v>50.256857729982016</v>
      </c>
      <c r="G553" s="302">
        <v>167.67905575620543</v>
      </c>
      <c r="H553" s="302">
        <f>SUM(F553:G553)</f>
        <v>217.93591348618745</v>
      </c>
      <c r="I553" s="303"/>
      <c r="J553" s="302">
        <v>66.852300592026509</v>
      </c>
      <c r="K553" s="302">
        <v>165.6654284347764</v>
      </c>
      <c r="L553" s="302">
        <f>SUM(J553:K553)</f>
        <v>232.5177290268029</v>
      </c>
      <c r="M553" s="236"/>
      <c r="N553" s="236"/>
    </row>
    <row r="554" spans="1:14" x14ac:dyDescent="0.3">
      <c r="A554" s="237" t="str">
        <f>name!E$5</f>
        <v>Professional occupations</v>
      </c>
      <c r="B554" s="302">
        <v>28.910726759832048</v>
      </c>
      <c r="C554" s="302">
        <v>74.457230003232112</v>
      </c>
      <c r="D554" s="302">
        <f t="shared" ref="D554:D561" si="208">SUM(B554:C554)</f>
        <v>103.36795676306416</v>
      </c>
      <c r="E554" s="303"/>
      <c r="F554" s="302">
        <v>44.8827880490512</v>
      </c>
      <c r="G554" s="302">
        <v>95.918978856462843</v>
      </c>
      <c r="H554" s="302">
        <f t="shared" ref="H554:H561" si="209">SUM(F554:G554)</f>
        <v>140.80176690551406</v>
      </c>
      <c r="I554" s="303"/>
      <c r="J554" s="302">
        <v>63.044174513771303</v>
      </c>
      <c r="K554" s="302">
        <v>111.4330084287365</v>
      </c>
      <c r="L554" s="302">
        <f t="shared" ref="L554:L561" si="210">SUM(J554:K554)</f>
        <v>174.4771829425078</v>
      </c>
      <c r="M554" s="236"/>
      <c r="N554" s="236"/>
    </row>
    <row r="555" spans="1:14" x14ac:dyDescent="0.3">
      <c r="A555" s="237" t="str">
        <f>name!E$6</f>
        <v>Associate professional occupations</v>
      </c>
      <c r="B555" s="302">
        <v>50.76387311137907</v>
      </c>
      <c r="C555" s="302">
        <v>89.793248813668512</v>
      </c>
      <c r="D555" s="302">
        <f t="shared" si="208"/>
        <v>140.55712192504757</v>
      </c>
      <c r="E555" s="303"/>
      <c r="F555" s="302">
        <v>63.836058445310904</v>
      </c>
      <c r="G555" s="302">
        <v>102.72086910670861</v>
      </c>
      <c r="H555" s="302">
        <f t="shared" si="209"/>
        <v>166.55692755201952</v>
      </c>
      <c r="I555" s="303"/>
      <c r="J555" s="302">
        <v>72.912240915550655</v>
      </c>
      <c r="K555" s="302">
        <v>97.011377100685579</v>
      </c>
      <c r="L555" s="302">
        <f t="shared" si="210"/>
        <v>169.92361801623622</v>
      </c>
      <c r="M555" s="236"/>
      <c r="N555" s="236"/>
    </row>
    <row r="556" spans="1:14" x14ac:dyDescent="0.3">
      <c r="A556" s="237" t="str">
        <f>name!E$7</f>
        <v>Administrative and secretarial occupations</v>
      </c>
      <c r="B556" s="302">
        <v>110.91282800636642</v>
      </c>
      <c r="C556" s="302">
        <v>48.647666190823905</v>
      </c>
      <c r="D556" s="302">
        <f t="shared" si="208"/>
        <v>159.56049419719034</v>
      </c>
      <c r="E556" s="303"/>
      <c r="F556" s="302">
        <v>112.65568587824863</v>
      </c>
      <c r="G556" s="302">
        <v>54.598459237802139</v>
      </c>
      <c r="H556" s="302">
        <f t="shared" si="209"/>
        <v>167.25414511605078</v>
      </c>
      <c r="I556" s="303"/>
      <c r="J556" s="302">
        <v>93.384573224728541</v>
      </c>
      <c r="K556" s="302">
        <v>57.026644400138274</v>
      </c>
      <c r="L556" s="302">
        <f t="shared" si="210"/>
        <v>150.41121762486682</v>
      </c>
      <c r="M556" s="236"/>
      <c r="N556" s="236"/>
    </row>
    <row r="557" spans="1:14" x14ac:dyDescent="0.3">
      <c r="A557" s="237" t="str">
        <f>name!E$8</f>
        <v>Skilled trades occupations</v>
      </c>
      <c r="B557" s="302">
        <v>5.3186775059859865</v>
      </c>
      <c r="C557" s="302">
        <v>63.207958198189196</v>
      </c>
      <c r="D557" s="302">
        <f t="shared" si="208"/>
        <v>68.526635704175177</v>
      </c>
      <c r="E557" s="303"/>
      <c r="F557" s="302">
        <v>5.0123291156288001</v>
      </c>
      <c r="G557" s="302">
        <v>50.557220299236505</v>
      </c>
      <c r="H557" s="302">
        <f t="shared" si="209"/>
        <v>55.569549414865307</v>
      </c>
      <c r="I557" s="303"/>
      <c r="J557" s="302">
        <v>7.0402914741942411</v>
      </c>
      <c r="K557" s="302">
        <v>47.168933907558412</v>
      </c>
      <c r="L557" s="302">
        <f t="shared" si="210"/>
        <v>54.209225381752653</v>
      </c>
      <c r="M557" s="236"/>
      <c r="N557" s="236"/>
    </row>
    <row r="558" spans="1:14" x14ac:dyDescent="0.3">
      <c r="A558" s="237" t="str">
        <f>name!E$9</f>
        <v>Caring, leisure and other service occupations</v>
      </c>
      <c r="B558" s="302">
        <v>3.4098603256018434</v>
      </c>
      <c r="C558" s="302">
        <v>1.8019639553377833</v>
      </c>
      <c r="D558" s="302">
        <f t="shared" si="208"/>
        <v>5.2118242809396271</v>
      </c>
      <c r="E558" s="303"/>
      <c r="F558" s="302">
        <v>3.19895384728959</v>
      </c>
      <c r="G558" s="302">
        <v>1.8989688773007245</v>
      </c>
      <c r="H558" s="302">
        <f t="shared" si="209"/>
        <v>5.0979227245903145</v>
      </c>
      <c r="I558" s="303"/>
      <c r="J558" s="302">
        <v>3.9784962242746089</v>
      </c>
      <c r="K558" s="302">
        <v>1.9709635770504432</v>
      </c>
      <c r="L558" s="302">
        <f t="shared" si="210"/>
        <v>5.9494598013250517</v>
      </c>
      <c r="M558" s="236"/>
      <c r="N558" s="236"/>
    </row>
    <row r="559" spans="1:14" x14ac:dyDescent="0.3">
      <c r="A559" s="237" t="str">
        <f>name!E$10</f>
        <v>Sales and customer service occupations</v>
      </c>
      <c r="B559" s="302">
        <v>53.427169667311837</v>
      </c>
      <c r="C559" s="302">
        <v>62.370330124592193</v>
      </c>
      <c r="D559" s="302">
        <f t="shared" si="208"/>
        <v>115.79749979190403</v>
      </c>
      <c r="E559" s="303"/>
      <c r="F559" s="302">
        <v>49.108526706615081</v>
      </c>
      <c r="G559" s="302">
        <v>57.648099294873013</v>
      </c>
      <c r="H559" s="302">
        <f t="shared" si="209"/>
        <v>106.75662600148809</v>
      </c>
      <c r="I559" s="303"/>
      <c r="J559" s="302">
        <v>49.73871031805669</v>
      </c>
      <c r="K559" s="302">
        <v>55.160210726328209</v>
      </c>
      <c r="L559" s="302">
        <f t="shared" si="210"/>
        <v>104.89892104438491</v>
      </c>
      <c r="M559" s="236"/>
      <c r="N559" s="236"/>
    </row>
    <row r="560" spans="1:14" x14ac:dyDescent="0.3">
      <c r="A560" s="237" t="str">
        <f>name!E$11</f>
        <v>Process, plant and machine operatives</v>
      </c>
      <c r="B560" s="302">
        <v>29.942903178332649</v>
      </c>
      <c r="C560" s="302">
        <v>137.69738366857192</v>
      </c>
      <c r="D560" s="302">
        <f t="shared" si="208"/>
        <v>167.64028684690456</v>
      </c>
      <c r="E560" s="303"/>
      <c r="F560" s="302">
        <v>25.88610994949131</v>
      </c>
      <c r="G560" s="302">
        <v>115.45838471451931</v>
      </c>
      <c r="H560" s="302">
        <f t="shared" si="209"/>
        <v>141.34449466401063</v>
      </c>
      <c r="I560" s="303"/>
      <c r="J560" s="302">
        <v>36.228809415240264</v>
      </c>
      <c r="K560" s="302">
        <v>118.07464603157028</v>
      </c>
      <c r="L560" s="302">
        <f t="shared" si="210"/>
        <v>154.30345544681055</v>
      </c>
      <c r="M560" s="236"/>
      <c r="N560" s="236"/>
    </row>
    <row r="561" spans="1:14" x14ac:dyDescent="0.3">
      <c r="A561" s="237" t="str">
        <f>name!E$12</f>
        <v>Elementary occupations</v>
      </c>
      <c r="B561" s="302">
        <v>44.868145839251724</v>
      </c>
      <c r="C561" s="302">
        <v>89.64010672890852</v>
      </c>
      <c r="D561" s="302">
        <f t="shared" si="208"/>
        <v>134.50825256816023</v>
      </c>
      <c r="E561" s="303"/>
      <c r="F561" s="302">
        <v>35.761690277809308</v>
      </c>
      <c r="G561" s="302">
        <v>69.174963857577765</v>
      </c>
      <c r="H561" s="302">
        <f t="shared" si="209"/>
        <v>104.93665413538707</v>
      </c>
      <c r="I561" s="303"/>
      <c r="J561" s="302">
        <v>36.189403317639716</v>
      </c>
      <c r="K561" s="302">
        <v>43.617787395825999</v>
      </c>
      <c r="L561" s="302">
        <f t="shared" si="210"/>
        <v>79.807190713465715</v>
      </c>
      <c r="M561" s="236"/>
      <c r="N561" s="236"/>
    </row>
    <row r="562" spans="1:14" x14ac:dyDescent="0.3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3">
      <c r="A563" s="244" t="s">
        <v>32</v>
      </c>
      <c r="B563" s="311">
        <f>SUM(B553:B561)</f>
        <v>365.85800000306199</v>
      </c>
      <c r="C563" s="311">
        <f t="shared" ref="C563:D563" si="211">SUM(C553:C561)</f>
        <v>713.5320000047052</v>
      </c>
      <c r="D563" s="311">
        <f t="shared" si="211"/>
        <v>1079.3900000077672</v>
      </c>
      <c r="E563" s="311"/>
      <c r="F563" s="311">
        <f t="shared" ref="F563:H563" si="212">SUM(F553:F561)</f>
        <v>390.59899999942684</v>
      </c>
      <c r="G563" s="311">
        <f t="shared" si="212"/>
        <v>715.6550000006863</v>
      </c>
      <c r="H563" s="311">
        <f t="shared" si="212"/>
        <v>1106.2540000001131</v>
      </c>
      <c r="I563" s="311"/>
      <c r="J563" s="311">
        <f t="shared" ref="J563:L563" si="213">SUM(J553:J561)</f>
        <v>429.36899999548257</v>
      </c>
      <c r="K563" s="311">
        <f t="shared" si="213"/>
        <v>697.12900000267007</v>
      </c>
      <c r="L563" s="311">
        <f t="shared" si="213"/>
        <v>1126.4979999981524</v>
      </c>
      <c r="M563" s="236"/>
      <c r="N563" s="236"/>
    </row>
    <row r="564" spans="1:14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3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3">
      <c r="A567" s="241" t="str">
        <f>name!A36</f>
        <v>Retail trade</v>
      </c>
      <c r="B567" s="373">
        <f>B$6</f>
        <v>2015</v>
      </c>
      <c r="C567" s="373"/>
      <c r="D567" s="373"/>
      <c r="E567" s="253"/>
      <c r="F567" s="373">
        <f>F550</f>
        <v>2020</v>
      </c>
      <c r="G567" s="373"/>
      <c r="H567" s="373"/>
      <c r="I567" s="253"/>
      <c r="J567" s="373">
        <f>J550</f>
        <v>2035</v>
      </c>
      <c r="K567" s="373"/>
      <c r="L567" s="373"/>
      <c r="M567" s="236"/>
      <c r="N567" s="236"/>
    </row>
    <row r="568" spans="1:14" x14ac:dyDescent="0.3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3">
      <c r="A570" s="237" t="str">
        <f>name!E$4</f>
        <v>Managers, directors and senior officials</v>
      </c>
      <c r="B570" s="302">
        <v>133.51549688827578</v>
      </c>
      <c r="C570" s="302">
        <v>167.82874363457879</v>
      </c>
      <c r="D570" s="302">
        <f>SUM(B570:C570)</f>
        <v>301.34424052285453</v>
      </c>
      <c r="E570" s="303"/>
      <c r="F570" s="302">
        <v>164.83195082748821</v>
      </c>
      <c r="G570" s="302">
        <v>176.19007370857634</v>
      </c>
      <c r="H570" s="302">
        <f>SUM(F570:G570)</f>
        <v>341.02202453606458</v>
      </c>
      <c r="I570" s="303"/>
      <c r="J570" s="302">
        <v>208.88744143644601</v>
      </c>
      <c r="K570" s="302">
        <v>209.36108958764456</v>
      </c>
      <c r="L570" s="302">
        <f>SUM(J570:K570)</f>
        <v>418.24853102409054</v>
      </c>
      <c r="M570" s="236"/>
      <c r="N570" s="236"/>
    </row>
    <row r="571" spans="1:14" x14ac:dyDescent="0.3">
      <c r="A571" s="237" t="str">
        <f>name!E$5</f>
        <v>Professional occupations</v>
      </c>
      <c r="B571" s="302">
        <v>116.48877394307264</v>
      </c>
      <c r="C571" s="302">
        <v>86.533443336071798</v>
      </c>
      <c r="D571" s="302">
        <f t="shared" ref="D571:D578" si="214">SUM(B571:C571)</f>
        <v>203.02221727914446</v>
      </c>
      <c r="E571" s="303"/>
      <c r="F571" s="302">
        <v>149.19401296864194</v>
      </c>
      <c r="G571" s="302">
        <v>107.28367006431894</v>
      </c>
      <c r="H571" s="302">
        <f t="shared" ref="H571:H578" si="215">SUM(F571:G571)</f>
        <v>256.4776830329609</v>
      </c>
      <c r="I571" s="303"/>
      <c r="J571" s="302">
        <v>186.16484717695414</v>
      </c>
      <c r="K571" s="302">
        <v>141.23822820825899</v>
      </c>
      <c r="L571" s="302">
        <f t="shared" ref="L571:L578" si="216">SUM(J571:K571)</f>
        <v>327.40307538521313</v>
      </c>
      <c r="M571" s="236"/>
      <c r="N571" s="236"/>
    </row>
    <row r="572" spans="1:14" x14ac:dyDescent="0.3">
      <c r="A572" s="237" t="str">
        <f>name!E$6</f>
        <v>Associate professional occupations</v>
      </c>
      <c r="B572" s="302">
        <v>104.1374887473925</v>
      </c>
      <c r="C572" s="302">
        <v>71.274564863161501</v>
      </c>
      <c r="D572" s="302">
        <f t="shared" si="214"/>
        <v>175.41205361055398</v>
      </c>
      <c r="E572" s="303"/>
      <c r="F572" s="302">
        <v>120.40277540677756</v>
      </c>
      <c r="G572" s="302">
        <v>82.746760673875102</v>
      </c>
      <c r="H572" s="302">
        <f t="shared" si="215"/>
        <v>203.14953608065267</v>
      </c>
      <c r="I572" s="303"/>
      <c r="J572" s="302">
        <v>133.10286406237526</v>
      </c>
      <c r="K572" s="302">
        <v>87.426257811440422</v>
      </c>
      <c r="L572" s="302">
        <f t="shared" si="216"/>
        <v>220.52912187381568</v>
      </c>
      <c r="M572" s="236"/>
      <c r="N572" s="236"/>
    </row>
    <row r="573" spans="1:14" x14ac:dyDescent="0.3">
      <c r="A573" s="237" t="str">
        <f>name!E$7</f>
        <v>Administrative and secretarial occupations</v>
      </c>
      <c r="B573" s="302">
        <v>124.3559653832325</v>
      </c>
      <c r="C573" s="302">
        <v>46.986871204501448</v>
      </c>
      <c r="D573" s="302">
        <f t="shared" si="214"/>
        <v>171.34283658773396</v>
      </c>
      <c r="E573" s="303"/>
      <c r="F573" s="302">
        <v>125.86978194979214</v>
      </c>
      <c r="G573" s="302">
        <v>55.36005053294604</v>
      </c>
      <c r="H573" s="302">
        <f t="shared" si="215"/>
        <v>181.22983248273817</v>
      </c>
      <c r="I573" s="303"/>
      <c r="J573" s="302">
        <v>123.11588804846735</v>
      </c>
      <c r="K573" s="302">
        <v>67.253324034104963</v>
      </c>
      <c r="L573" s="302">
        <f t="shared" si="216"/>
        <v>190.36921208257232</v>
      </c>
      <c r="M573" s="236"/>
      <c r="N573" s="236"/>
    </row>
    <row r="574" spans="1:14" x14ac:dyDescent="0.3">
      <c r="A574" s="237" t="str">
        <f>name!E$8</f>
        <v>Skilled trades occupations</v>
      </c>
      <c r="B574" s="302">
        <v>41.03089136757665</v>
      </c>
      <c r="C574" s="302">
        <v>89.098572918193994</v>
      </c>
      <c r="D574" s="302">
        <f t="shared" si="214"/>
        <v>130.12946428577064</v>
      </c>
      <c r="E574" s="303"/>
      <c r="F574" s="302">
        <v>37.08739488102038</v>
      </c>
      <c r="G574" s="302">
        <v>66.073380027363314</v>
      </c>
      <c r="H574" s="302">
        <f t="shared" si="215"/>
        <v>103.1607749083837</v>
      </c>
      <c r="I574" s="303"/>
      <c r="J574" s="302">
        <v>39.958682429671235</v>
      </c>
      <c r="K574" s="302">
        <v>70.642815104922676</v>
      </c>
      <c r="L574" s="302">
        <f t="shared" si="216"/>
        <v>110.6014975345939</v>
      </c>
      <c r="M574" s="236"/>
      <c r="N574" s="236"/>
    </row>
    <row r="575" spans="1:14" x14ac:dyDescent="0.3">
      <c r="A575" s="237" t="str">
        <f>name!E$9</f>
        <v>Caring, leisure and other service occupations</v>
      </c>
      <c r="B575" s="302">
        <v>13.506650062130175</v>
      </c>
      <c r="C575" s="302">
        <v>5.3864273201348523</v>
      </c>
      <c r="D575" s="302">
        <f t="shared" si="214"/>
        <v>18.893077382265027</v>
      </c>
      <c r="E575" s="303"/>
      <c r="F575" s="302">
        <v>12.396032113224988</v>
      </c>
      <c r="G575" s="302">
        <v>5.8263511619113668</v>
      </c>
      <c r="H575" s="302">
        <f t="shared" si="215"/>
        <v>18.222383275136355</v>
      </c>
      <c r="I575" s="303"/>
      <c r="J575" s="302">
        <v>14.664738690390131</v>
      </c>
      <c r="K575" s="302">
        <v>7.4648855116773385</v>
      </c>
      <c r="L575" s="302">
        <f t="shared" si="216"/>
        <v>22.129624202067468</v>
      </c>
      <c r="M575" s="236"/>
      <c r="N575" s="236"/>
    </row>
    <row r="576" spans="1:14" x14ac:dyDescent="0.3">
      <c r="A576" s="237" t="str">
        <f>name!E$10</f>
        <v>Sales and customer service occupations</v>
      </c>
      <c r="B576" s="302">
        <v>861.2742239233861</v>
      </c>
      <c r="C576" s="302">
        <v>430.69417368387116</v>
      </c>
      <c r="D576" s="302">
        <f t="shared" si="214"/>
        <v>1291.9683976072572</v>
      </c>
      <c r="E576" s="303"/>
      <c r="F576" s="302">
        <v>790.61452995167679</v>
      </c>
      <c r="G576" s="302">
        <v>421.05543784802609</v>
      </c>
      <c r="H576" s="302">
        <f t="shared" si="215"/>
        <v>1211.6699677997028</v>
      </c>
      <c r="I576" s="303"/>
      <c r="J576" s="302">
        <v>661.56129025712278</v>
      </c>
      <c r="K576" s="302">
        <v>396.39743245248553</v>
      </c>
      <c r="L576" s="302">
        <f t="shared" si="216"/>
        <v>1057.9587227096083</v>
      </c>
      <c r="M576" s="236"/>
      <c r="N576" s="236"/>
    </row>
    <row r="577" spans="1:14" x14ac:dyDescent="0.3">
      <c r="A577" s="237" t="str">
        <f>name!E$11</f>
        <v>Process, plant and machine operatives</v>
      </c>
      <c r="B577" s="302">
        <v>18.439736685978023</v>
      </c>
      <c r="C577" s="302">
        <v>66.895169966337932</v>
      </c>
      <c r="D577" s="302">
        <f t="shared" si="214"/>
        <v>85.334906652315951</v>
      </c>
      <c r="E577" s="303"/>
      <c r="F577" s="302">
        <v>16.579589276872909</v>
      </c>
      <c r="G577" s="302">
        <v>61.422056303128308</v>
      </c>
      <c r="H577" s="302">
        <f t="shared" si="215"/>
        <v>78.001645580001224</v>
      </c>
      <c r="I577" s="303"/>
      <c r="J577" s="302">
        <v>27.09377421218419</v>
      </c>
      <c r="K577" s="302">
        <v>66.793676408013113</v>
      </c>
      <c r="L577" s="302">
        <f t="shared" si="216"/>
        <v>93.887450620197299</v>
      </c>
      <c r="M577" s="236"/>
      <c r="N577" s="236"/>
    </row>
    <row r="578" spans="1:14" x14ac:dyDescent="0.3">
      <c r="A578" s="237" t="str">
        <f>name!E$12</f>
        <v>Elementary occupations</v>
      </c>
      <c r="B578" s="302">
        <v>146.3467730502185</v>
      </c>
      <c r="C578" s="302">
        <v>145.88503308786531</v>
      </c>
      <c r="D578" s="302">
        <f t="shared" si="214"/>
        <v>292.23180613808381</v>
      </c>
      <c r="E578" s="303"/>
      <c r="F578" s="302">
        <v>121.812932660643</v>
      </c>
      <c r="G578" s="302">
        <v>121.74221967864159</v>
      </c>
      <c r="H578" s="302">
        <f t="shared" si="215"/>
        <v>243.55515233928458</v>
      </c>
      <c r="I578" s="303"/>
      <c r="J578" s="302">
        <v>102.45447367159852</v>
      </c>
      <c r="K578" s="302">
        <v>104.94829088513869</v>
      </c>
      <c r="L578" s="302">
        <f t="shared" si="216"/>
        <v>207.40276455673722</v>
      </c>
      <c r="M578" s="236"/>
      <c r="N578" s="236"/>
    </row>
    <row r="579" spans="1:14" x14ac:dyDescent="0.3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3">
      <c r="A580" s="244" t="s">
        <v>32</v>
      </c>
      <c r="B580" s="311">
        <f>SUM(B570:B578)</f>
        <v>1559.0960000512628</v>
      </c>
      <c r="C580" s="311">
        <f t="shared" ref="C580:D580" si="217">SUM(C570:C578)</f>
        <v>1110.5830000147166</v>
      </c>
      <c r="D580" s="311">
        <f t="shared" si="217"/>
        <v>2669.6790000659794</v>
      </c>
      <c r="E580" s="311"/>
      <c r="F580" s="311">
        <f t="shared" ref="F580:H580" si="218">SUM(F570:F578)</f>
        <v>1538.7890000361378</v>
      </c>
      <c r="G580" s="311">
        <f t="shared" si="218"/>
        <v>1097.699999998787</v>
      </c>
      <c r="H580" s="311">
        <f t="shared" si="218"/>
        <v>2636.4890000349251</v>
      </c>
      <c r="I580" s="311"/>
      <c r="J580" s="311">
        <f t="shared" ref="J580:L580" si="219">SUM(J570:J578)</f>
        <v>1497.0039999852097</v>
      </c>
      <c r="K580" s="311">
        <f t="shared" si="219"/>
        <v>1151.5260000036862</v>
      </c>
      <c r="L580" s="311">
        <f t="shared" si="219"/>
        <v>2648.5299999888957</v>
      </c>
      <c r="M580" s="236"/>
      <c r="N580" s="236"/>
    </row>
    <row r="581" spans="1:14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3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3">
      <c r="A584" s="241" t="str">
        <f>name!A37</f>
        <v>Land transport, etc</v>
      </c>
      <c r="B584" s="373">
        <f>B$6</f>
        <v>2015</v>
      </c>
      <c r="C584" s="373"/>
      <c r="D584" s="373"/>
      <c r="E584" s="253"/>
      <c r="F584" s="373">
        <f>F567</f>
        <v>2020</v>
      </c>
      <c r="G584" s="373"/>
      <c r="H584" s="373"/>
      <c r="I584" s="253"/>
      <c r="J584" s="373">
        <f>J567</f>
        <v>2035</v>
      </c>
      <c r="K584" s="373"/>
      <c r="L584" s="373"/>
      <c r="M584" s="236"/>
      <c r="N584" s="236"/>
    </row>
    <row r="585" spans="1:14" x14ac:dyDescent="0.3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3">
      <c r="A587" s="237" t="str">
        <f>name!E$4</f>
        <v>Managers, directors and senior officials</v>
      </c>
      <c r="B587" s="302">
        <v>6.0385395544036653</v>
      </c>
      <c r="C587" s="302">
        <v>31.900791991813154</v>
      </c>
      <c r="D587" s="302">
        <f>SUM(B587:C587)</f>
        <v>37.93933154621682</v>
      </c>
      <c r="E587" s="303"/>
      <c r="F587" s="302">
        <v>11.645900022227886</v>
      </c>
      <c r="G587" s="302">
        <v>36.935003091856863</v>
      </c>
      <c r="H587" s="302">
        <f>SUM(F587:G587)</f>
        <v>48.580903114084748</v>
      </c>
      <c r="I587" s="303"/>
      <c r="J587" s="302">
        <v>15.254656510920849</v>
      </c>
      <c r="K587" s="302">
        <v>42.028954938856344</v>
      </c>
      <c r="L587" s="302">
        <f>SUM(J587:K587)</f>
        <v>57.283611449777197</v>
      </c>
      <c r="M587" s="236"/>
      <c r="N587" s="236"/>
    </row>
    <row r="588" spans="1:14" x14ac:dyDescent="0.3">
      <c r="A588" s="237" t="str">
        <f>name!E$5</f>
        <v>Professional occupations</v>
      </c>
      <c r="B588" s="302">
        <v>7.9787958948435689</v>
      </c>
      <c r="C588" s="302">
        <v>21.159505122236837</v>
      </c>
      <c r="D588" s="302">
        <f t="shared" ref="D588:D595" si="220">SUM(B588:C588)</f>
        <v>29.138301017080405</v>
      </c>
      <c r="E588" s="303"/>
      <c r="F588" s="302">
        <v>15.10032144900757</v>
      </c>
      <c r="G588" s="302">
        <v>31.470011400460962</v>
      </c>
      <c r="H588" s="302">
        <f t="shared" ref="H588:H595" si="221">SUM(F588:G588)</f>
        <v>46.570332849468528</v>
      </c>
      <c r="I588" s="303"/>
      <c r="J588" s="302">
        <v>21.793594518102147</v>
      </c>
      <c r="K588" s="302">
        <v>45.514690842579355</v>
      </c>
      <c r="L588" s="302">
        <f t="shared" ref="L588:L595" si="222">SUM(J588:K588)</f>
        <v>67.308285360681509</v>
      </c>
      <c r="M588" s="236"/>
      <c r="N588" s="236"/>
    </row>
    <row r="589" spans="1:14" x14ac:dyDescent="0.3">
      <c r="A589" s="237" t="str">
        <f>name!E$6</f>
        <v>Associate professional occupations</v>
      </c>
      <c r="B589" s="302">
        <v>7.3827713734293896</v>
      </c>
      <c r="C589" s="302">
        <v>25.891419384034233</v>
      </c>
      <c r="D589" s="302">
        <f t="shared" si="220"/>
        <v>33.274190757463622</v>
      </c>
      <c r="E589" s="303"/>
      <c r="F589" s="302">
        <v>12.000879145010583</v>
      </c>
      <c r="G589" s="302">
        <v>37.607467726329944</v>
      </c>
      <c r="H589" s="302">
        <f t="shared" si="221"/>
        <v>49.60834687134053</v>
      </c>
      <c r="I589" s="303"/>
      <c r="J589" s="302">
        <v>14.310324555167877</v>
      </c>
      <c r="K589" s="302">
        <v>44.696322174292114</v>
      </c>
      <c r="L589" s="302">
        <f t="shared" si="222"/>
        <v>59.006646729459987</v>
      </c>
      <c r="M589" s="236"/>
      <c r="N589" s="236"/>
    </row>
    <row r="590" spans="1:14" x14ac:dyDescent="0.3">
      <c r="A590" s="237" t="str">
        <f>name!E$7</f>
        <v>Administrative and secretarial occupations</v>
      </c>
      <c r="B590" s="302">
        <v>25.973075050032982</v>
      </c>
      <c r="C590" s="302">
        <v>23.291024659424675</v>
      </c>
      <c r="D590" s="302">
        <f t="shared" si="220"/>
        <v>49.264099709457653</v>
      </c>
      <c r="E590" s="303"/>
      <c r="F590" s="302">
        <v>35.544340106734566</v>
      </c>
      <c r="G590" s="302">
        <v>30.036998886234883</v>
      </c>
      <c r="H590" s="302">
        <f t="shared" si="221"/>
        <v>65.581338992969449</v>
      </c>
      <c r="I590" s="303"/>
      <c r="J590" s="302">
        <v>27.657483723160215</v>
      </c>
      <c r="K590" s="302">
        <v>31.1030631616463</v>
      </c>
      <c r="L590" s="302">
        <f t="shared" si="222"/>
        <v>58.760546884806516</v>
      </c>
      <c r="M590" s="236"/>
      <c r="N590" s="236"/>
    </row>
    <row r="591" spans="1:14" x14ac:dyDescent="0.3">
      <c r="A591" s="237" t="str">
        <f>name!E$8</f>
        <v>Skilled trades occupations</v>
      </c>
      <c r="B591" s="302">
        <v>0.88358499825970083</v>
      </c>
      <c r="C591" s="302">
        <v>48.073909326349423</v>
      </c>
      <c r="D591" s="302">
        <f t="shared" si="220"/>
        <v>48.957494324609122</v>
      </c>
      <c r="E591" s="303"/>
      <c r="F591" s="302">
        <v>1.4965137413995648</v>
      </c>
      <c r="G591" s="302">
        <v>39.091785564070172</v>
      </c>
      <c r="H591" s="302">
        <f t="shared" si="221"/>
        <v>40.588299305469739</v>
      </c>
      <c r="I591" s="303"/>
      <c r="J591" s="302">
        <v>3.5728246065925768</v>
      </c>
      <c r="K591" s="302">
        <v>34.203676944335783</v>
      </c>
      <c r="L591" s="302">
        <f t="shared" si="222"/>
        <v>37.776501550928359</v>
      </c>
      <c r="M591" s="236"/>
      <c r="N591" s="236"/>
    </row>
    <row r="592" spans="1:14" x14ac:dyDescent="0.3">
      <c r="A592" s="237" t="str">
        <f>name!E$9</f>
        <v>Caring, leisure and other service occupations</v>
      </c>
      <c r="B592" s="302">
        <v>11.430865049739914</v>
      </c>
      <c r="C592" s="302">
        <v>13.046744685887351</v>
      </c>
      <c r="D592" s="302">
        <f t="shared" si="220"/>
        <v>24.477609735627265</v>
      </c>
      <c r="E592" s="303"/>
      <c r="F592" s="302">
        <v>15.696228644692304</v>
      </c>
      <c r="G592" s="302">
        <v>18.033192686970196</v>
      </c>
      <c r="H592" s="302">
        <f t="shared" si="221"/>
        <v>33.7294213316625</v>
      </c>
      <c r="I592" s="303"/>
      <c r="J592" s="302">
        <v>17.421243449276357</v>
      </c>
      <c r="K592" s="302">
        <v>25.432229826843756</v>
      </c>
      <c r="L592" s="302">
        <f t="shared" si="222"/>
        <v>42.853473276120113</v>
      </c>
      <c r="M592" s="236"/>
      <c r="N592" s="236"/>
    </row>
    <row r="593" spans="1:14" x14ac:dyDescent="0.3">
      <c r="A593" s="237" t="str">
        <f>name!E$10</f>
        <v>Sales and customer service occupations</v>
      </c>
      <c r="B593" s="302">
        <v>4.2228220007968558</v>
      </c>
      <c r="C593" s="302">
        <v>6.6940748387327487</v>
      </c>
      <c r="D593" s="302">
        <f t="shared" si="220"/>
        <v>10.916896839529604</v>
      </c>
      <c r="E593" s="303"/>
      <c r="F593" s="302">
        <v>6.0324302970489079</v>
      </c>
      <c r="G593" s="302">
        <v>7.958174176892947</v>
      </c>
      <c r="H593" s="302">
        <f t="shared" si="221"/>
        <v>13.990604473941854</v>
      </c>
      <c r="I593" s="303"/>
      <c r="J593" s="302">
        <v>7.1197429237645542</v>
      </c>
      <c r="K593" s="302">
        <v>12.796814431386068</v>
      </c>
      <c r="L593" s="302">
        <f t="shared" si="222"/>
        <v>19.916557355150623</v>
      </c>
      <c r="M593" s="236"/>
      <c r="N593" s="236"/>
    </row>
    <row r="594" spans="1:14" x14ac:dyDescent="0.3">
      <c r="A594" s="237" t="str">
        <f>name!E$11</f>
        <v>Process, plant and machine operatives</v>
      </c>
      <c r="B594" s="302">
        <v>13.073754735521863</v>
      </c>
      <c r="C594" s="302">
        <v>369.47992046781434</v>
      </c>
      <c r="D594" s="302">
        <f t="shared" si="220"/>
        <v>382.55367520333618</v>
      </c>
      <c r="E594" s="303"/>
      <c r="F594" s="302">
        <v>16.977018361386754</v>
      </c>
      <c r="G594" s="302">
        <v>367.4885221387288</v>
      </c>
      <c r="H594" s="302">
        <f t="shared" si="221"/>
        <v>384.46554050011554</v>
      </c>
      <c r="I594" s="303"/>
      <c r="J594" s="302">
        <v>28.789546285800487</v>
      </c>
      <c r="K594" s="302">
        <v>386.18525853890179</v>
      </c>
      <c r="L594" s="302">
        <f t="shared" si="222"/>
        <v>414.97480482470229</v>
      </c>
      <c r="M594" s="236"/>
      <c r="N594" s="236"/>
    </row>
    <row r="595" spans="1:14" x14ac:dyDescent="0.3">
      <c r="A595" s="237" t="str">
        <f>name!E$12</f>
        <v>Elementary occupations</v>
      </c>
      <c r="B595" s="302">
        <v>4.7417913433450085</v>
      </c>
      <c r="C595" s="302">
        <v>22.779609529581087</v>
      </c>
      <c r="D595" s="302">
        <f t="shared" si="220"/>
        <v>27.521400872926094</v>
      </c>
      <c r="E595" s="303"/>
      <c r="F595" s="302">
        <v>6.1473682321563405</v>
      </c>
      <c r="G595" s="302">
        <v>20.04184433138774</v>
      </c>
      <c r="H595" s="302">
        <f t="shared" si="221"/>
        <v>26.189212563544082</v>
      </c>
      <c r="I595" s="303"/>
      <c r="J595" s="302">
        <v>6.6035834262874049</v>
      </c>
      <c r="K595" s="302">
        <v>14.796989151947814</v>
      </c>
      <c r="L595" s="302">
        <f t="shared" si="222"/>
        <v>21.40057257823522</v>
      </c>
      <c r="M595" s="236"/>
      <c r="N595" s="236"/>
    </row>
    <row r="596" spans="1:14" x14ac:dyDescent="0.3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3">
      <c r="A597" s="244" t="s">
        <v>32</v>
      </c>
      <c r="B597" s="311">
        <f>SUM(B587:B595)</f>
        <v>81.726000000372949</v>
      </c>
      <c r="C597" s="311">
        <f t="shared" ref="C597:D597" si="223">SUM(C587:C595)</f>
        <v>562.31700000587387</v>
      </c>
      <c r="D597" s="311">
        <f t="shared" si="223"/>
        <v>644.04300000624676</v>
      </c>
      <c r="E597" s="311"/>
      <c r="F597" s="311">
        <f t="shared" ref="F597:H597" si="224">SUM(F587:F595)</f>
        <v>120.64099999966449</v>
      </c>
      <c r="G597" s="311">
        <f t="shared" si="224"/>
        <v>588.66300000293256</v>
      </c>
      <c r="H597" s="311">
        <f t="shared" si="224"/>
        <v>709.30400000259692</v>
      </c>
      <c r="I597" s="311"/>
      <c r="J597" s="311">
        <f t="shared" ref="J597:L597" si="225">SUM(J587:J595)</f>
        <v>142.52299999907245</v>
      </c>
      <c r="K597" s="311">
        <f t="shared" si="225"/>
        <v>636.75800001078937</v>
      </c>
      <c r="L597" s="311">
        <f t="shared" si="225"/>
        <v>779.28100000986183</v>
      </c>
      <c r="M597" s="236"/>
      <c r="N597" s="236"/>
    </row>
    <row r="598" spans="1:14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3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3">
      <c r="A601" s="241" t="str">
        <f>name!A38</f>
        <v>Water transport</v>
      </c>
      <c r="B601" s="373">
        <f>B$6</f>
        <v>2015</v>
      </c>
      <c r="C601" s="373"/>
      <c r="D601" s="373"/>
      <c r="E601" s="253"/>
      <c r="F601" s="373">
        <f>F584</f>
        <v>2020</v>
      </c>
      <c r="G601" s="373"/>
      <c r="H601" s="373"/>
      <c r="I601" s="253"/>
      <c r="J601" s="373">
        <f>J584</f>
        <v>2035</v>
      </c>
      <c r="K601" s="373"/>
      <c r="L601" s="373"/>
      <c r="M601" s="236"/>
      <c r="N601" s="236"/>
    </row>
    <row r="602" spans="1:14" x14ac:dyDescent="0.3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3">
      <c r="A604" s="237" t="str">
        <f>name!E$4</f>
        <v>Managers, directors and senior officials</v>
      </c>
      <c r="B604" s="302">
        <v>0.49075525578067969</v>
      </c>
      <c r="C604" s="302">
        <v>1.0839078706037724</v>
      </c>
      <c r="D604" s="302">
        <f>SUM(B604:C604)</f>
        <v>1.5746631263844519</v>
      </c>
      <c r="E604" s="303"/>
      <c r="F604" s="302">
        <v>0.51976453407833834</v>
      </c>
      <c r="G604" s="302">
        <v>1.9862792086087611</v>
      </c>
      <c r="H604" s="302">
        <f>SUM(F604:G604)</f>
        <v>2.5060437426870994</v>
      </c>
      <c r="I604" s="303"/>
      <c r="J604" s="302">
        <v>0.49354951499660593</v>
      </c>
      <c r="K604" s="302">
        <v>1.6090157169405546</v>
      </c>
      <c r="L604" s="302">
        <f>SUM(J604:K604)</f>
        <v>2.1025652319371604</v>
      </c>
      <c r="M604" s="236"/>
      <c r="N604" s="236"/>
    </row>
    <row r="605" spans="1:14" x14ac:dyDescent="0.3">
      <c r="A605" s="237" t="str">
        <f>name!E$5</f>
        <v>Professional occupations</v>
      </c>
      <c r="B605" s="302">
        <v>0.75739333006648324</v>
      </c>
      <c r="C605" s="302">
        <v>1.578165052048903</v>
      </c>
      <c r="D605" s="302">
        <f t="shared" ref="D605:D612" si="226">SUM(B605:C605)</f>
        <v>2.3355583821153862</v>
      </c>
      <c r="E605" s="303"/>
      <c r="F605" s="302">
        <v>0.8480992891707626</v>
      </c>
      <c r="G605" s="302">
        <v>2.1929874569433641</v>
      </c>
      <c r="H605" s="302">
        <f t="shared" ref="H605:H612" si="227">SUM(F605:G605)</f>
        <v>3.0410867461141269</v>
      </c>
      <c r="I605" s="303"/>
      <c r="J605" s="302">
        <v>0.80136471496641959</v>
      </c>
      <c r="K605" s="302">
        <v>2.0654841171592699</v>
      </c>
      <c r="L605" s="302">
        <f t="shared" ref="L605:L612" si="228">SUM(J605:K605)</f>
        <v>2.8668488321256893</v>
      </c>
      <c r="M605" s="236"/>
      <c r="N605" s="236"/>
    </row>
    <row r="606" spans="1:14" x14ac:dyDescent="0.3">
      <c r="A606" s="237" t="str">
        <f>name!E$6</f>
        <v>Associate professional occupations</v>
      </c>
      <c r="B606" s="302">
        <v>0.77410162604332189</v>
      </c>
      <c r="C606" s="302">
        <v>2.1351783513785421</v>
      </c>
      <c r="D606" s="302">
        <f t="shared" si="226"/>
        <v>2.9092799774218641</v>
      </c>
      <c r="E606" s="303"/>
      <c r="F606" s="302">
        <v>0.77521865752127439</v>
      </c>
      <c r="G606" s="302">
        <v>2.6264139045624368</v>
      </c>
      <c r="H606" s="302">
        <f t="shared" si="227"/>
        <v>3.4016325620837113</v>
      </c>
      <c r="I606" s="303"/>
      <c r="J606" s="302">
        <v>0.66279035266275366</v>
      </c>
      <c r="K606" s="302">
        <v>1.9411253777214905</v>
      </c>
      <c r="L606" s="302">
        <f t="shared" si="228"/>
        <v>2.6039157303842444</v>
      </c>
      <c r="M606" s="236"/>
      <c r="N606" s="236"/>
    </row>
    <row r="607" spans="1:14" x14ac:dyDescent="0.3">
      <c r="A607" s="237" t="str">
        <f>name!E$7</f>
        <v>Administrative and secretarial occupations</v>
      </c>
      <c r="B607" s="302">
        <v>2.3009702472891012</v>
      </c>
      <c r="C607" s="302">
        <v>0.97202252960409874</v>
      </c>
      <c r="D607" s="302">
        <f t="shared" si="226"/>
        <v>3.2729927768931999</v>
      </c>
      <c r="E607" s="303"/>
      <c r="F607" s="302">
        <v>2.0317539940996556</v>
      </c>
      <c r="G607" s="302">
        <v>0.99912977707461836</v>
      </c>
      <c r="H607" s="302">
        <f t="shared" si="227"/>
        <v>3.030883771174274</v>
      </c>
      <c r="I607" s="303"/>
      <c r="J607" s="302">
        <v>1.15316581000996</v>
      </c>
      <c r="K607" s="302">
        <v>0.94215005144021602</v>
      </c>
      <c r="L607" s="302">
        <f t="shared" si="228"/>
        <v>2.0953158614501759</v>
      </c>
      <c r="M607" s="236"/>
      <c r="N607" s="236"/>
    </row>
    <row r="608" spans="1:14" x14ac:dyDescent="0.3">
      <c r="A608" s="237" t="str">
        <f>name!E$8</f>
        <v>Skilled trades occupations</v>
      </c>
      <c r="B608" s="302">
        <v>0.16232407128888457</v>
      </c>
      <c r="C608" s="302">
        <v>0.30855193256675228</v>
      </c>
      <c r="D608" s="302">
        <f t="shared" si="226"/>
        <v>0.47087600385563688</v>
      </c>
      <c r="E608" s="303"/>
      <c r="F608" s="302">
        <v>0.1496012648774365</v>
      </c>
      <c r="G608" s="302">
        <v>0.43038748969198265</v>
      </c>
      <c r="H608" s="302">
        <f t="shared" si="227"/>
        <v>0.57998875456941912</v>
      </c>
      <c r="I608" s="303"/>
      <c r="J608" s="302">
        <v>0.21316225074736928</v>
      </c>
      <c r="K608" s="302">
        <v>0.21410078506149618</v>
      </c>
      <c r="L608" s="302">
        <f t="shared" si="228"/>
        <v>0.42726303580886549</v>
      </c>
      <c r="M608" s="236"/>
      <c r="N608" s="236"/>
    </row>
    <row r="609" spans="1:14" x14ac:dyDescent="0.3">
      <c r="A609" s="237" t="str">
        <f>name!E$9</f>
        <v>Caring, leisure and other service occupations</v>
      </c>
      <c r="B609" s="302">
        <v>0.89693691979766865</v>
      </c>
      <c r="C609" s="302">
        <v>0.22287008182139068</v>
      </c>
      <c r="D609" s="302">
        <f t="shared" si="226"/>
        <v>1.1198070016190593</v>
      </c>
      <c r="E609" s="303"/>
      <c r="F609" s="302">
        <v>0.67688647258553558</v>
      </c>
      <c r="G609" s="302">
        <v>0.2341765639919326</v>
      </c>
      <c r="H609" s="302">
        <f t="shared" si="227"/>
        <v>0.91106303657746812</v>
      </c>
      <c r="I609" s="303"/>
      <c r="J609" s="302">
        <v>0.5091530956447653</v>
      </c>
      <c r="K609" s="302">
        <v>0.21014504983681381</v>
      </c>
      <c r="L609" s="302">
        <f t="shared" si="228"/>
        <v>0.71929814548157911</v>
      </c>
      <c r="M609" s="236"/>
      <c r="N609" s="236"/>
    </row>
    <row r="610" spans="1:14" x14ac:dyDescent="0.3">
      <c r="A610" s="237" t="str">
        <f>name!E$10</f>
        <v>Sales and customer service occupations</v>
      </c>
      <c r="B610" s="302">
        <v>0.50362535316140777</v>
      </c>
      <c r="C610" s="302">
        <v>0.32403843782069153</v>
      </c>
      <c r="D610" s="302">
        <f t="shared" si="226"/>
        <v>0.8276637909820993</v>
      </c>
      <c r="E610" s="303"/>
      <c r="F610" s="302">
        <v>0.43475601865044222</v>
      </c>
      <c r="G610" s="302">
        <v>0.33990522860155126</v>
      </c>
      <c r="H610" s="302">
        <f t="shared" si="227"/>
        <v>0.77466124725199348</v>
      </c>
      <c r="I610" s="303"/>
      <c r="J610" s="302">
        <v>0.33306229693589279</v>
      </c>
      <c r="K610" s="302">
        <v>0.33928509973352677</v>
      </c>
      <c r="L610" s="302">
        <f t="shared" si="228"/>
        <v>0.67234739666941956</v>
      </c>
      <c r="M610" s="236"/>
      <c r="N610" s="236"/>
    </row>
    <row r="611" spans="1:14" x14ac:dyDescent="0.3">
      <c r="A611" s="237" t="str">
        <f>name!E$11</f>
        <v>Process, plant and machine operatives</v>
      </c>
      <c r="B611" s="302">
        <v>0.15805249520406067</v>
      </c>
      <c r="C611" s="302">
        <v>0.5766518790959887</v>
      </c>
      <c r="D611" s="302">
        <f t="shared" si="226"/>
        <v>0.73470437430004942</v>
      </c>
      <c r="E611" s="303"/>
      <c r="F611" s="302">
        <v>0.13845541301041212</v>
      </c>
      <c r="G611" s="302">
        <v>0.74100147819486528</v>
      </c>
      <c r="H611" s="302">
        <f t="shared" si="227"/>
        <v>0.87945689120527737</v>
      </c>
      <c r="I611" s="303"/>
      <c r="J611" s="302">
        <v>0.21199620807977471</v>
      </c>
      <c r="K611" s="302">
        <v>0.36030561538288236</v>
      </c>
      <c r="L611" s="302">
        <f t="shared" si="228"/>
        <v>0.57230182346265712</v>
      </c>
      <c r="M611" s="236"/>
      <c r="N611" s="236"/>
    </row>
    <row r="612" spans="1:14" x14ac:dyDescent="0.3">
      <c r="A612" s="237" t="str">
        <f>name!E$12</f>
        <v>Elementary occupations</v>
      </c>
      <c r="B612" s="302">
        <v>0.26184070138224663</v>
      </c>
      <c r="C612" s="302">
        <v>0.71161386510690683</v>
      </c>
      <c r="D612" s="302">
        <f t="shared" si="226"/>
        <v>0.97345456648915341</v>
      </c>
      <c r="E612" s="303"/>
      <c r="F612" s="302">
        <v>0.21246435600740518</v>
      </c>
      <c r="G612" s="302">
        <v>0.6727188923666757</v>
      </c>
      <c r="H612" s="302">
        <f t="shared" si="227"/>
        <v>0.88518324837408091</v>
      </c>
      <c r="I612" s="303"/>
      <c r="J612" s="302">
        <v>0.16575575594160144</v>
      </c>
      <c r="K612" s="302">
        <v>0.3903881867895303</v>
      </c>
      <c r="L612" s="302">
        <f t="shared" si="228"/>
        <v>0.55614394273113177</v>
      </c>
      <c r="M612" s="236"/>
      <c r="N612" s="236"/>
    </row>
    <row r="613" spans="1:14" x14ac:dyDescent="0.3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3">
      <c r="A614" s="244" t="s">
        <v>32</v>
      </c>
      <c r="B614" s="311">
        <f>SUM(B604:B612)</f>
        <v>6.3060000000138547</v>
      </c>
      <c r="C614" s="311">
        <f t="shared" ref="C614:D614" si="229">SUM(C604:C612)</f>
        <v>7.9130000000470471</v>
      </c>
      <c r="D614" s="311">
        <f t="shared" si="229"/>
        <v>14.219000000060898</v>
      </c>
      <c r="E614" s="311"/>
      <c r="F614" s="311">
        <f t="shared" ref="F614:H614" si="230">SUM(F604:F612)</f>
        <v>5.787000000001262</v>
      </c>
      <c r="G614" s="311">
        <f t="shared" si="230"/>
        <v>10.223000000036189</v>
      </c>
      <c r="H614" s="311">
        <f t="shared" si="230"/>
        <v>16.010000000037451</v>
      </c>
      <c r="I614" s="311"/>
      <c r="J614" s="311">
        <f t="shared" ref="J614:L614" si="231">SUM(J604:J612)</f>
        <v>4.543999999985143</v>
      </c>
      <c r="K614" s="311">
        <f t="shared" si="231"/>
        <v>8.0720000000657812</v>
      </c>
      <c r="L614" s="311">
        <f t="shared" si="231"/>
        <v>12.616000000050922</v>
      </c>
      <c r="M614" s="236"/>
      <c r="N614" s="236"/>
    </row>
    <row r="615" spans="1:14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3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3">
      <c r="A618" s="241" t="str">
        <f>name!A39</f>
        <v>Air transport</v>
      </c>
      <c r="B618" s="373">
        <f>B$6</f>
        <v>2015</v>
      </c>
      <c r="C618" s="373"/>
      <c r="D618" s="373"/>
      <c r="E618" s="253"/>
      <c r="F618" s="373">
        <f>F601</f>
        <v>2020</v>
      </c>
      <c r="G618" s="373"/>
      <c r="H618" s="373"/>
      <c r="I618" s="253"/>
      <c r="J618" s="373">
        <f>J601</f>
        <v>2035</v>
      </c>
      <c r="K618" s="373"/>
      <c r="L618" s="373"/>
      <c r="M618" s="236"/>
      <c r="N618" s="236"/>
    </row>
    <row r="619" spans="1:14" x14ac:dyDescent="0.3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3">
      <c r="A621" s="237" t="str">
        <f>name!E$4</f>
        <v>Managers, directors and senior officials</v>
      </c>
      <c r="B621" s="302">
        <v>0.99474915035603284</v>
      </c>
      <c r="C621" s="302">
        <v>3.2648833103677157</v>
      </c>
      <c r="D621" s="302">
        <f>SUM(B621:C621)</f>
        <v>4.2596324607237488</v>
      </c>
      <c r="E621" s="303"/>
      <c r="F621" s="302">
        <v>1.3042432256299497</v>
      </c>
      <c r="G621" s="302">
        <v>4.0025089723673819</v>
      </c>
      <c r="H621" s="302">
        <f>SUM(F621:G621)</f>
        <v>5.3067521979973318</v>
      </c>
      <c r="I621" s="303"/>
      <c r="J621" s="302">
        <v>1.6481035412385086</v>
      </c>
      <c r="K621" s="302">
        <v>4.0179218821429421</v>
      </c>
      <c r="L621" s="302">
        <f>SUM(J621:K621)</f>
        <v>5.6660254233814502</v>
      </c>
      <c r="M621" s="236"/>
      <c r="N621" s="236"/>
    </row>
    <row r="622" spans="1:14" x14ac:dyDescent="0.3">
      <c r="A622" s="237" t="str">
        <f>name!E$5</f>
        <v>Professional occupations</v>
      </c>
      <c r="B622" s="302">
        <v>2.6404167819299564</v>
      </c>
      <c r="C622" s="302">
        <v>5.6477679312546165</v>
      </c>
      <c r="D622" s="302">
        <f t="shared" ref="D622:D629" si="232">SUM(B622:C622)</f>
        <v>8.2881847131845738</v>
      </c>
      <c r="E622" s="303"/>
      <c r="F622" s="302">
        <v>3.7201214376517382</v>
      </c>
      <c r="G622" s="302">
        <v>7.3388731800336151</v>
      </c>
      <c r="H622" s="302">
        <f t="shared" ref="H622:H629" si="233">SUM(F622:G622)</f>
        <v>11.058994617685354</v>
      </c>
      <c r="I622" s="303"/>
      <c r="J622" s="302">
        <v>4.5302922237607506</v>
      </c>
      <c r="K622" s="302">
        <v>8.6024614528438317</v>
      </c>
      <c r="L622" s="302">
        <f t="shared" ref="L622:L629" si="234">SUM(J622:K622)</f>
        <v>13.132753676604583</v>
      </c>
      <c r="M622" s="236"/>
      <c r="N622" s="236"/>
    </row>
    <row r="623" spans="1:14" x14ac:dyDescent="0.3">
      <c r="A623" s="237" t="str">
        <f>name!E$6</f>
        <v>Associate professional occupations</v>
      </c>
      <c r="B623" s="302">
        <v>3.6829412972341746</v>
      </c>
      <c r="C623" s="302">
        <v>9.4645170773497487</v>
      </c>
      <c r="D623" s="302">
        <f t="shared" si="232"/>
        <v>13.147458374583923</v>
      </c>
      <c r="E623" s="303"/>
      <c r="F623" s="302">
        <v>4.558031093224038</v>
      </c>
      <c r="G623" s="302">
        <v>10.102575110059755</v>
      </c>
      <c r="H623" s="302">
        <f t="shared" si="233"/>
        <v>14.660606203283793</v>
      </c>
      <c r="I623" s="303"/>
      <c r="J623" s="302">
        <v>5.140353528079773</v>
      </c>
      <c r="K623" s="302">
        <v>8.9953322236138504</v>
      </c>
      <c r="L623" s="302">
        <f t="shared" si="234"/>
        <v>14.135685751693623</v>
      </c>
      <c r="M623" s="236"/>
      <c r="N623" s="236"/>
    </row>
    <row r="624" spans="1:14" x14ac:dyDescent="0.3">
      <c r="A624" s="237" t="str">
        <f>name!E$7</f>
        <v>Administrative and secretarial occupations</v>
      </c>
      <c r="B624" s="302">
        <v>3.6883555164234938</v>
      </c>
      <c r="C624" s="302">
        <v>2.2038301853010576</v>
      </c>
      <c r="D624" s="302">
        <f t="shared" si="232"/>
        <v>5.8921857017245518</v>
      </c>
      <c r="E624" s="303"/>
      <c r="F624" s="302">
        <v>3.6507229832076535</v>
      </c>
      <c r="G624" s="302">
        <v>2.4211779762516303</v>
      </c>
      <c r="H624" s="302">
        <f t="shared" si="233"/>
        <v>6.0719009594592839</v>
      </c>
      <c r="I624" s="303"/>
      <c r="J624" s="302">
        <v>3.2103771465392827</v>
      </c>
      <c r="K624" s="302">
        <v>2.7250418636283835</v>
      </c>
      <c r="L624" s="302">
        <f t="shared" si="234"/>
        <v>5.9354190101676663</v>
      </c>
      <c r="M624" s="236"/>
      <c r="N624" s="236"/>
    </row>
    <row r="625" spans="1:14" x14ac:dyDescent="0.3">
      <c r="A625" s="237" t="str">
        <f>name!E$8</f>
        <v>Skilled trades occupations</v>
      </c>
      <c r="B625" s="302">
        <v>0.26749110095398754</v>
      </c>
      <c r="C625" s="302">
        <v>5.0418998614154793</v>
      </c>
      <c r="D625" s="302">
        <f t="shared" si="232"/>
        <v>5.3093909623694664</v>
      </c>
      <c r="E625" s="303"/>
      <c r="F625" s="302">
        <v>0.31036053160232979</v>
      </c>
      <c r="G625" s="302">
        <v>4.5366927332003639</v>
      </c>
      <c r="H625" s="302">
        <f t="shared" si="233"/>
        <v>4.8470532648026934</v>
      </c>
      <c r="I625" s="303"/>
      <c r="J625" s="302">
        <v>0.64576503300039501</v>
      </c>
      <c r="K625" s="302">
        <v>4.3960557779745981</v>
      </c>
      <c r="L625" s="302">
        <f t="shared" si="234"/>
        <v>5.0418208109749933</v>
      </c>
      <c r="M625" s="236"/>
      <c r="N625" s="236"/>
    </row>
    <row r="626" spans="1:14" x14ac:dyDescent="0.3">
      <c r="A626" s="237" t="str">
        <f>name!E$9</f>
        <v>Caring, leisure and other service occupations</v>
      </c>
      <c r="B626" s="302">
        <v>18.035834281210857</v>
      </c>
      <c r="C626" s="302">
        <v>3.2906385090112891</v>
      </c>
      <c r="D626" s="302">
        <f t="shared" si="232"/>
        <v>21.326472790222144</v>
      </c>
      <c r="E626" s="303"/>
      <c r="F626" s="302">
        <v>14.501903941539814</v>
      </c>
      <c r="G626" s="302">
        <v>2.8141876801170009</v>
      </c>
      <c r="H626" s="302">
        <f t="shared" si="233"/>
        <v>17.316091621656813</v>
      </c>
      <c r="I626" s="303"/>
      <c r="J626" s="302">
        <v>14.018467267997805</v>
      </c>
      <c r="K626" s="302">
        <v>2.9328317888751569</v>
      </c>
      <c r="L626" s="302">
        <f t="shared" si="234"/>
        <v>16.951299056872962</v>
      </c>
      <c r="M626" s="236"/>
      <c r="N626" s="236"/>
    </row>
    <row r="627" spans="1:14" x14ac:dyDescent="0.3">
      <c r="A627" s="237" t="str">
        <f>name!E$10</f>
        <v>Sales and customer service occupations</v>
      </c>
      <c r="B627" s="302">
        <v>1.7869364741242966</v>
      </c>
      <c r="C627" s="302">
        <v>1.3144564943759294</v>
      </c>
      <c r="D627" s="302">
        <f t="shared" si="232"/>
        <v>3.1013929685002259</v>
      </c>
      <c r="E627" s="303"/>
      <c r="F627" s="302">
        <v>1.9006641000964672</v>
      </c>
      <c r="G627" s="302">
        <v>1.1915732414649596</v>
      </c>
      <c r="H627" s="302">
        <f t="shared" si="233"/>
        <v>3.092237341561427</v>
      </c>
      <c r="I627" s="303"/>
      <c r="J627" s="302">
        <v>2.424690765983418</v>
      </c>
      <c r="K627" s="302">
        <v>1.5976918024032167</v>
      </c>
      <c r="L627" s="302">
        <f t="shared" si="234"/>
        <v>4.022382568386635</v>
      </c>
      <c r="M627" s="236"/>
      <c r="N627" s="236"/>
    </row>
    <row r="628" spans="1:14" x14ac:dyDescent="0.3">
      <c r="A628" s="237" t="str">
        <f>name!E$11</f>
        <v>Process, plant and machine operatives</v>
      </c>
      <c r="B628" s="302">
        <v>1.092859701130547</v>
      </c>
      <c r="C628" s="302">
        <v>4.491790863428049</v>
      </c>
      <c r="D628" s="302">
        <f t="shared" si="232"/>
        <v>5.5846505645585962</v>
      </c>
      <c r="E628" s="303"/>
      <c r="F628" s="302">
        <v>0.86190665245830511</v>
      </c>
      <c r="G628" s="302">
        <v>3.9122411736011298</v>
      </c>
      <c r="H628" s="302">
        <f t="shared" si="233"/>
        <v>4.7741478260594352</v>
      </c>
      <c r="I628" s="303"/>
      <c r="J628" s="302">
        <v>1.3599182047255916</v>
      </c>
      <c r="K628" s="302">
        <v>3.869981418515438</v>
      </c>
      <c r="L628" s="302">
        <f t="shared" si="234"/>
        <v>5.22989962324103</v>
      </c>
      <c r="M628" s="236"/>
      <c r="N628" s="236"/>
    </row>
    <row r="629" spans="1:14" x14ac:dyDescent="0.3">
      <c r="A629" s="237" t="str">
        <f>name!E$12</f>
        <v>Elementary occupations</v>
      </c>
      <c r="B629" s="302">
        <v>2.1734156968871603</v>
      </c>
      <c r="C629" s="302">
        <v>1.7572157677856644</v>
      </c>
      <c r="D629" s="302">
        <f t="shared" si="232"/>
        <v>3.9306314646728246</v>
      </c>
      <c r="E629" s="303"/>
      <c r="F629" s="302">
        <v>1.9580460344917308</v>
      </c>
      <c r="G629" s="302">
        <v>1.3881699327958927</v>
      </c>
      <c r="H629" s="302">
        <f t="shared" si="233"/>
        <v>3.3462159672876233</v>
      </c>
      <c r="I629" s="303"/>
      <c r="J629" s="302">
        <v>2.7640322884670785</v>
      </c>
      <c r="K629" s="302">
        <v>1.3136817899700399</v>
      </c>
      <c r="L629" s="302">
        <f t="shared" si="234"/>
        <v>4.0777140784371184</v>
      </c>
      <c r="M629" s="236"/>
      <c r="N629" s="236"/>
    </row>
    <row r="630" spans="1:14" x14ac:dyDescent="0.3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3">
      <c r="A631" s="244" t="s">
        <v>32</v>
      </c>
      <c r="B631" s="311">
        <f>SUM(B621:B629)</f>
        <v>34.363000000250508</v>
      </c>
      <c r="C631" s="311">
        <f t="shared" ref="C631:D631" si="235">SUM(C621:C629)</f>
        <v>36.47700000028955</v>
      </c>
      <c r="D631" s="311">
        <f t="shared" si="235"/>
        <v>70.840000000540059</v>
      </c>
      <c r="E631" s="311"/>
      <c r="F631" s="311">
        <f t="shared" ref="F631:H631" si="236">SUM(F621:F629)</f>
        <v>32.765999999902029</v>
      </c>
      <c r="G631" s="311">
        <f t="shared" si="236"/>
        <v>37.707999999891726</v>
      </c>
      <c r="H631" s="311">
        <f t="shared" si="236"/>
        <v>70.473999999793747</v>
      </c>
      <c r="I631" s="311"/>
      <c r="J631" s="311">
        <f t="shared" ref="J631:L631" si="237">SUM(J621:J629)</f>
        <v>35.741999999792597</v>
      </c>
      <c r="K631" s="311">
        <f t="shared" si="237"/>
        <v>38.450999999967458</v>
      </c>
      <c r="L631" s="311">
        <f t="shared" si="237"/>
        <v>74.192999999760048</v>
      </c>
      <c r="M631" s="236"/>
      <c r="N631" s="236"/>
    </row>
    <row r="632" spans="1:14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3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3">
      <c r="A635" s="241" t="str">
        <f>name!A40</f>
        <v>Warehousing, etc</v>
      </c>
      <c r="B635" s="373">
        <f>B$6</f>
        <v>2015</v>
      </c>
      <c r="C635" s="373"/>
      <c r="D635" s="373"/>
      <c r="E635" s="253"/>
      <c r="F635" s="373">
        <f>F618</f>
        <v>2020</v>
      </c>
      <c r="G635" s="373"/>
      <c r="H635" s="373"/>
      <c r="I635" s="253"/>
      <c r="J635" s="373">
        <f>J618</f>
        <v>2035</v>
      </c>
      <c r="K635" s="373"/>
      <c r="L635" s="373"/>
      <c r="M635" s="236"/>
      <c r="N635" s="236"/>
    </row>
    <row r="636" spans="1:14" x14ac:dyDescent="0.3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3">
      <c r="A638" s="237" t="str">
        <f>name!E$4</f>
        <v>Managers, directors and senior officials</v>
      </c>
      <c r="B638" s="302">
        <v>4.052170537349908</v>
      </c>
      <c r="C638" s="302">
        <v>43.382556113109928</v>
      </c>
      <c r="D638" s="302">
        <f>SUM(B638:C638)</f>
        <v>47.434726650459837</v>
      </c>
      <c r="E638" s="303"/>
      <c r="F638" s="302">
        <v>6.774971206138475</v>
      </c>
      <c r="G638" s="302">
        <v>57.751146100283655</v>
      </c>
      <c r="H638" s="302">
        <f>SUM(F638:G638)</f>
        <v>64.526117306422137</v>
      </c>
      <c r="I638" s="303"/>
      <c r="J638" s="302">
        <v>9.6448867453995977</v>
      </c>
      <c r="K638" s="302">
        <v>62.034516410817652</v>
      </c>
      <c r="L638" s="302">
        <f>SUM(J638:K638)</f>
        <v>71.679403156217248</v>
      </c>
      <c r="M638" s="236"/>
      <c r="N638" s="236"/>
    </row>
    <row r="639" spans="1:14" x14ac:dyDescent="0.3">
      <c r="A639" s="237" t="str">
        <f>name!E$5</f>
        <v>Professional occupations</v>
      </c>
      <c r="B639" s="302">
        <v>3.6004733798141721</v>
      </c>
      <c r="C639" s="302">
        <v>28.980678254028142</v>
      </c>
      <c r="D639" s="302">
        <f t="shared" ref="D639:D646" si="238">SUM(B639:C639)</f>
        <v>32.58115163384231</v>
      </c>
      <c r="E639" s="303"/>
      <c r="F639" s="302">
        <v>7.2738328938329637</v>
      </c>
      <c r="G639" s="302">
        <v>43.396040305784013</v>
      </c>
      <c r="H639" s="302">
        <f t="shared" ref="H639:H646" si="239">SUM(F639:G639)</f>
        <v>50.669873199616973</v>
      </c>
      <c r="I639" s="303"/>
      <c r="J639" s="302">
        <v>10.944583568126204</v>
      </c>
      <c r="K639" s="302">
        <v>58.143950806532146</v>
      </c>
      <c r="L639" s="302">
        <f t="shared" ref="L639:L646" si="240">SUM(J639:K639)</f>
        <v>69.088534374658352</v>
      </c>
      <c r="M639" s="236"/>
      <c r="N639" s="236"/>
    </row>
    <row r="640" spans="1:14" x14ac:dyDescent="0.3">
      <c r="A640" s="237" t="str">
        <f>name!E$6</f>
        <v>Associate professional occupations</v>
      </c>
      <c r="B640" s="302">
        <v>3.8959013151127659</v>
      </c>
      <c r="C640" s="302">
        <v>27.022325990343568</v>
      </c>
      <c r="D640" s="302">
        <f t="shared" si="238"/>
        <v>30.918227305456334</v>
      </c>
      <c r="E640" s="303"/>
      <c r="F640" s="302">
        <v>6.5509349818373925</v>
      </c>
      <c r="G640" s="302">
        <v>37.78186432461208</v>
      </c>
      <c r="H640" s="302">
        <f t="shared" si="239"/>
        <v>44.332799306449473</v>
      </c>
      <c r="I640" s="303"/>
      <c r="J640" s="302">
        <v>8.5028684815200837</v>
      </c>
      <c r="K640" s="302">
        <v>41.433220359345363</v>
      </c>
      <c r="L640" s="302">
        <f t="shared" si="240"/>
        <v>49.936088840865445</v>
      </c>
      <c r="M640" s="236"/>
      <c r="N640" s="236"/>
    </row>
    <row r="641" spans="1:14" x14ac:dyDescent="0.3">
      <c r="A641" s="237" t="str">
        <f>name!E$7</f>
        <v>Administrative and secretarial occupations</v>
      </c>
      <c r="B641" s="302">
        <v>16.507891467480128</v>
      </c>
      <c r="C641" s="302">
        <v>27.279940621119742</v>
      </c>
      <c r="D641" s="302">
        <f t="shared" si="238"/>
        <v>43.78783208859987</v>
      </c>
      <c r="E641" s="303"/>
      <c r="F641" s="302">
        <v>22.173621859823186</v>
      </c>
      <c r="G641" s="302">
        <v>37.67038319631839</v>
      </c>
      <c r="H641" s="302">
        <f t="shared" si="239"/>
        <v>59.844005056141576</v>
      </c>
      <c r="I641" s="303"/>
      <c r="J641" s="302">
        <v>19.276408045249706</v>
      </c>
      <c r="K641" s="302">
        <v>42.025729209749393</v>
      </c>
      <c r="L641" s="302">
        <f t="shared" si="240"/>
        <v>61.302137254999096</v>
      </c>
      <c r="M641" s="236"/>
      <c r="N641" s="236"/>
    </row>
    <row r="642" spans="1:14" x14ac:dyDescent="0.3">
      <c r="A642" s="237" t="str">
        <f>name!E$8</f>
        <v>Skilled trades occupations</v>
      </c>
      <c r="B642" s="302">
        <v>0.48527037167338499</v>
      </c>
      <c r="C642" s="302">
        <v>14.840342965954413</v>
      </c>
      <c r="D642" s="302">
        <f t="shared" si="238"/>
        <v>15.325613337627798</v>
      </c>
      <c r="E642" s="303"/>
      <c r="F642" s="302">
        <v>0.67713133273430315</v>
      </c>
      <c r="G642" s="302">
        <v>14.597635302072359</v>
      </c>
      <c r="H642" s="302">
        <f t="shared" si="239"/>
        <v>15.274766634806662</v>
      </c>
      <c r="I642" s="303"/>
      <c r="J642" s="302">
        <v>1.7893427552731531</v>
      </c>
      <c r="K642" s="302">
        <v>16.036764393145678</v>
      </c>
      <c r="L642" s="302">
        <f t="shared" si="240"/>
        <v>17.826107148418831</v>
      </c>
      <c r="M642" s="236"/>
      <c r="N642" s="236"/>
    </row>
    <row r="643" spans="1:14" x14ac:dyDescent="0.3">
      <c r="A643" s="237" t="str">
        <f>name!E$9</f>
        <v>Caring, leisure and other service occupations</v>
      </c>
      <c r="B643" s="302">
        <v>25.467366162751524</v>
      </c>
      <c r="C643" s="302">
        <v>19.129579884428363</v>
      </c>
      <c r="D643" s="302">
        <f t="shared" si="238"/>
        <v>44.596946047179884</v>
      </c>
      <c r="E643" s="303"/>
      <c r="F643" s="302">
        <v>26.352798949528921</v>
      </c>
      <c r="G643" s="302">
        <v>25.205576386362534</v>
      </c>
      <c r="H643" s="302">
        <f t="shared" si="239"/>
        <v>51.558375335891455</v>
      </c>
      <c r="I643" s="303"/>
      <c r="J643" s="302">
        <v>27.582009688328881</v>
      </c>
      <c r="K643" s="302">
        <v>29.648612177357688</v>
      </c>
      <c r="L643" s="302">
        <f t="shared" si="240"/>
        <v>57.230621865686572</v>
      </c>
      <c r="M643" s="236"/>
      <c r="N643" s="236"/>
    </row>
    <row r="644" spans="1:14" x14ac:dyDescent="0.3">
      <c r="A644" s="237" t="str">
        <f>name!E$10</f>
        <v>Sales and customer service occupations</v>
      </c>
      <c r="B644" s="302">
        <v>5.6330839232806733</v>
      </c>
      <c r="C644" s="302">
        <v>17.562940594171295</v>
      </c>
      <c r="D644" s="302">
        <f t="shared" si="238"/>
        <v>23.196024517451967</v>
      </c>
      <c r="E644" s="303"/>
      <c r="F644" s="302">
        <v>7.6877756593363129</v>
      </c>
      <c r="G644" s="302">
        <v>22.1260833337154</v>
      </c>
      <c r="H644" s="302">
        <f t="shared" si="239"/>
        <v>29.813858993051713</v>
      </c>
      <c r="I644" s="303"/>
      <c r="J644" s="302">
        <v>8.8935533339096153</v>
      </c>
      <c r="K644" s="302">
        <v>27.550261499498855</v>
      </c>
      <c r="L644" s="302">
        <f t="shared" si="240"/>
        <v>36.443814833408467</v>
      </c>
      <c r="M644" s="236"/>
      <c r="N644" s="236"/>
    </row>
    <row r="645" spans="1:14" x14ac:dyDescent="0.3">
      <c r="A645" s="237" t="str">
        <f>name!E$11</f>
        <v>Process, plant and machine operatives</v>
      </c>
      <c r="B645" s="302">
        <v>2.6365460532045755</v>
      </c>
      <c r="C645" s="302">
        <v>89.177802442630338</v>
      </c>
      <c r="D645" s="302">
        <f t="shared" si="238"/>
        <v>91.814348495834906</v>
      </c>
      <c r="E645" s="303"/>
      <c r="F645" s="302">
        <v>3.1174369034096387</v>
      </c>
      <c r="G645" s="302">
        <v>95.527723547380063</v>
      </c>
      <c r="H645" s="302">
        <f t="shared" si="239"/>
        <v>98.645160450789703</v>
      </c>
      <c r="I645" s="303"/>
      <c r="J645" s="302">
        <v>7.5317902732834758</v>
      </c>
      <c r="K645" s="302">
        <v>105.22748973462782</v>
      </c>
      <c r="L645" s="302">
        <f t="shared" si="240"/>
        <v>112.7592800079113</v>
      </c>
      <c r="M645" s="236"/>
      <c r="N645" s="236"/>
    </row>
    <row r="646" spans="1:14" x14ac:dyDescent="0.3">
      <c r="A646" s="237" t="str">
        <f>name!E$12</f>
        <v>Elementary occupations</v>
      </c>
      <c r="B646" s="302">
        <v>9.366296789720673</v>
      </c>
      <c r="C646" s="302">
        <v>83.587833136662027</v>
      </c>
      <c r="D646" s="302">
        <f t="shared" si="238"/>
        <v>92.954129926382706</v>
      </c>
      <c r="E646" s="303"/>
      <c r="F646" s="302">
        <v>11.205496213311942</v>
      </c>
      <c r="G646" s="302">
        <v>78.131547503712156</v>
      </c>
      <c r="H646" s="302">
        <f t="shared" si="239"/>
        <v>89.337043717024102</v>
      </c>
      <c r="I646" s="303"/>
      <c r="J646" s="302">
        <v>13.663557107764241</v>
      </c>
      <c r="K646" s="302">
        <v>54.621455410331372</v>
      </c>
      <c r="L646" s="302">
        <f t="shared" si="240"/>
        <v>68.285012518095613</v>
      </c>
      <c r="M646" s="236"/>
      <c r="N646" s="236"/>
    </row>
    <row r="647" spans="1:14" x14ac:dyDescent="0.3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3">
      <c r="A648" s="244" t="s">
        <v>32</v>
      </c>
      <c r="B648" s="311">
        <f>SUM(B638:B646)</f>
        <v>71.64500000038781</v>
      </c>
      <c r="C648" s="311">
        <f t="shared" ref="C648:D648" si="241">SUM(C638:C646)</f>
        <v>350.96400000244779</v>
      </c>
      <c r="D648" s="311">
        <f t="shared" si="241"/>
        <v>422.60900000283561</v>
      </c>
      <c r="E648" s="311"/>
      <c r="F648" s="311">
        <f t="shared" ref="F648:H648" si="242">SUM(F638:F646)</f>
        <v>91.81399999995314</v>
      </c>
      <c r="G648" s="311">
        <f t="shared" si="242"/>
        <v>412.18800000024066</v>
      </c>
      <c r="H648" s="311">
        <f t="shared" si="242"/>
        <v>504.00200000019379</v>
      </c>
      <c r="I648" s="311"/>
      <c r="J648" s="311">
        <f t="shared" ref="J648:L648" si="243">SUM(J638:J646)</f>
        <v>107.82899999885495</v>
      </c>
      <c r="K648" s="311">
        <f t="shared" si="243"/>
        <v>436.72200000140595</v>
      </c>
      <c r="L648" s="311">
        <f t="shared" si="243"/>
        <v>544.55100000026096</v>
      </c>
      <c r="M648" s="236"/>
      <c r="N648" s="236"/>
    </row>
    <row r="649" spans="1:14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3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3">
      <c r="A652" s="241" t="str">
        <f>name!A41</f>
        <v>Postal and courier</v>
      </c>
      <c r="B652" s="373">
        <f>B$6</f>
        <v>2015</v>
      </c>
      <c r="C652" s="373"/>
      <c r="D652" s="373"/>
      <c r="E652" s="253"/>
      <c r="F652" s="373">
        <f>F635</f>
        <v>2020</v>
      </c>
      <c r="G652" s="373"/>
      <c r="H652" s="373"/>
      <c r="I652" s="253"/>
      <c r="J652" s="373">
        <f>J635</f>
        <v>2035</v>
      </c>
      <c r="K652" s="373"/>
      <c r="L652" s="373"/>
      <c r="M652" s="236"/>
      <c r="N652" s="236"/>
    </row>
    <row r="653" spans="1:14" x14ac:dyDescent="0.3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3">
      <c r="A655" s="237" t="str">
        <f>name!E$4</f>
        <v>Managers, directors and senior officials</v>
      </c>
      <c r="B655" s="302">
        <v>8.6725914909444715</v>
      </c>
      <c r="C655" s="302">
        <v>10.364656470191715</v>
      </c>
      <c r="D655" s="302">
        <f>SUM(B655:C655)</f>
        <v>19.037247961136188</v>
      </c>
      <c r="E655" s="303"/>
      <c r="F655" s="302">
        <v>13.450096179002974</v>
      </c>
      <c r="G655" s="302">
        <v>13.017502702882547</v>
      </c>
      <c r="H655" s="302">
        <f>SUM(F655:G655)</f>
        <v>26.467598881885522</v>
      </c>
      <c r="I655" s="303"/>
      <c r="J655" s="302">
        <v>18.17855767281058</v>
      </c>
      <c r="K655" s="302">
        <v>13.362076259267575</v>
      </c>
      <c r="L655" s="302">
        <f>SUM(J655:K655)</f>
        <v>31.540633932078155</v>
      </c>
      <c r="M655" s="236"/>
      <c r="N655" s="236"/>
    </row>
    <row r="656" spans="1:14" x14ac:dyDescent="0.3">
      <c r="A656" s="237" t="str">
        <f>name!E$5</f>
        <v>Professional occupations</v>
      </c>
      <c r="B656" s="302">
        <v>5.8692340985095655</v>
      </c>
      <c r="C656" s="302">
        <v>5.5480372999932657</v>
      </c>
      <c r="D656" s="302">
        <f t="shared" ref="D656:D663" si="244">SUM(B656:C656)</f>
        <v>11.41727139850283</v>
      </c>
      <c r="E656" s="303"/>
      <c r="F656" s="302">
        <v>9.892672373100929</v>
      </c>
      <c r="G656" s="302">
        <v>7.7954010333013573</v>
      </c>
      <c r="H656" s="302">
        <f t="shared" ref="H656:H663" si="245">SUM(F656:G656)</f>
        <v>17.688073406402285</v>
      </c>
      <c r="I656" s="303"/>
      <c r="J656" s="302">
        <v>13.324864824192346</v>
      </c>
      <c r="K656" s="302">
        <v>9.5340223968820315</v>
      </c>
      <c r="L656" s="302">
        <f t="shared" ref="L656:L663" si="246">SUM(J656:K656)</f>
        <v>22.858887221074376</v>
      </c>
      <c r="M656" s="236"/>
      <c r="N656" s="236"/>
    </row>
    <row r="657" spans="1:14" x14ac:dyDescent="0.3">
      <c r="A657" s="237" t="str">
        <f>name!E$6</f>
        <v>Associate professional occupations</v>
      </c>
      <c r="B657" s="302">
        <v>6.6112892640739815</v>
      </c>
      <c r="C657" s="302">
        <v>6.9233757206309408</v>
      </c>
      <c r="D657" s="302">
        <f t="shared" si="244"/>
        <v>13.534664984704921</v>
      </c>
      <c r="E657" s="303"/>
      <c r="F657" s="302">
        <v>9.3777450167088983</v>
      </c>
      <c r="G657" s="302">
        <v>8.72361598063444</v>
      </c>
      <c r="H657" s="302">
        <f t="shared" si="245"/>
        <v>18.101360997343338</v>
      </c>
      <c r="I657" s="303"/>
      <c r="J657" s="302">
        <v>11.172076639750562</v>
      </c>
      <c r="K657" s="302">
        <v>9.1622079722017133</v>
      </c>
      <c r="L657" s="302">
        <f t="shared" si="246"/>
        <v>20.334284611952278</v>
      </c>
      <c r="M657" s="236"/>
      <c r="N657" s="236"/>
    </row>
    <row r="658" spans="1:14" x14ac:dyDescent="0.3">
      <c r="A658" s="237" t="str">
        <f>name!E$7</f>
        <v>Administrative and secretarial occupations</v>
      </c>
      <c r="B658" s="302">
        <v>33.077097682379915</v>
      </c>
      <c r="C658" s="302">
        <v>7.4744354858742703</v>
      </c>
      <c r="D658" s="302">
        <f t="shared" si="244"/>
        <v>40.551533168254181</v>
      </c>
      <c r="E658" s="303"/>
      <c r="F658" s="302">
        <v>39.169974413848159</v>
      </c>
      <c r="G658" s="302">
        <v>9.6789686969976483</v>
      </c>
      <c r="H658" s="302">
        <f t="shared" si="245"/>
        <v>48.848943110845809</v>
      </c>
      <c r="I658" s="303"/>
      <c r="J658" s="302">
        <v>38.997469584422682</v>
      </c>
      <c r="K658" s="302">
        <v>10.253260771509524</v>
      </c>
      <c r="L658" s="302">
        <f t="shared" si="246"/>
        <v>49.250730355932205</v>
      </c>
      <c r="M658" s="236"/>
      <c r="N658" s="236"/>
    </row>
    <row r="659" spans="1:14" x14ac:dyDescent="0.3">
      <c r="A659" s="237" t="str">
        <f>name!E$8</f>
        <v>Skilled trades occupations</v>
      </c>
      <c r="B659" s="302">
        <v>0.85448184848776809</v>
      </c>
      <c r="C659" s="302">
        <v>11.568468491173494</v>
      </c>
      <c r="D659" s="302">
        <f t="shared" si="244"/>
        <v>12.422950339661263</v>
      </c>
      <c r="E659" s="303"/>
      <c r="F659" s="302">
        <v>1.0719067887977276</v>
      </c>
      <c r="G659" s="302">
        <v>11.886995097731136</v>
      </c>
      <c r="H659" s="302">
        <f t="shared" si="245"/>
        <v>12.958901886528864</v>
      </c>
      <c r="I659" s="303"/>
      <c r="J659" s="302">
        <v>2.4684697042835029</v>
      </c>
      <c r="K659" s="302">
        <v>12.356934556170481</v>
      </c>
      <c r="L659" s="302">
        <f t="shared" si="246"/>
        <v>14.825404260453984</v>
      </c>
      <c r="M659" s="236"/>
      <c r="N659" s="236"/>
    </row>
    <row r="660" spans="1:14" x14ac:dyDescent="0.3">
      <c r="A660" s="237" t="str">
        <f>name!E$9</f>
        <v>Caring, leisure and other service occupations</v>
      </c>
      <c r="B660" s="302">
        <v>3.199696929704555</v>
      </c>
      <c r="C660" s="302">
        <v>4.0187487629851963</v>
      </c>
      <c r="D660" s="302">
        <f t="shared" si="244"/>
        <v>7.2184456926897518</v>
      </c>
      <c r="E660" s="303"/>
      <c r="F660" s="302">
        <v>3.6324230016664201</v>
      </c>
      <c r="G660" s="302">
        <v>5.1502740915842757</v>
      </c>
      <c r="H660" s="302">
        <f t="shared" si="245"/>
        <v>8.7826970932506967</v>
      </c>
      <c r="I660" s="303"/>
      <c r="J660" s="302">
        <v>4.0519783637375291</v>
      </c>
      <c r="K660" s="302">
        <v>7.0599860790900877</v>
      </c>
      <c r="L660" s="302">
        <f t="shared" si="246"/>
        <v>11.111964442827617</v>
      </c>
      <c r="M660" s="236"/>
      <c r="N660" s="236"/>
    </row>
    <row r="661" spans="1:14" x14ac:dyDescent="0.3">
      <c r="A661" s="237" t="str">
        <f>name!E$10</f>
        <v>Sales and customer service occupations</v>
      </c>
      <c r="B661" s="302">
        <v>10.54243973313136</v>
      </c>
      <c r="C661" s="302">
        <v>4.0006389397951025</v>
      </c>
      <c r="D661" s="302">
        <f t="shared" si="244"/>
        <v>14.543078672926463</v>
      </c>
      <c r="E661" s="303"/>
      <c r="F661" s="302">
        <v>12.546925598856109</v>
      </c>
      <c r="G661" s="302">
        <v>4.6100091910295271</v>
      </c>
      <c r="H661" s="302">
        <f t="shared" si="245"/>
        <v>17.156934789885636</v>
      </c>
      <c r="I661" s="303"/>
      <c r="J661" s="302">
        <v>16.023154021213127</v>
      </c>
      <c r="K661" s="302">
        <v>6.4055193674332749</v>
      </c>
      <c r="L661" s="302">
        <f t="shared" si="246"/>
        <v>22.428673388646402</v>
      </c>
      <c r="M661" s="236"/>
      <c r="N661" s="236"/>
    </row>
    <row r="662" spans="1:14" x14ac:dyDescent="0.3">
      <c r="A662" s="237" t="str">
        <f>name!E$11</f>
        <v>Process, plant and machine operatives</v>
      </c>
      <c r="B662" s="302">
        <v>3.2649393590614055</v>
      </c>
      <c r="C662" s="302">
        <v>29.223722092406973</v>
      </c>
      <c r="D662" s="302">
        <f t="shared" si="244"/>
        <v>32.488661451468381</v>
      </c>
      <c r="E662" s="303"/>
      <c r="F662" s="302">
        <v>3.3231774781479499</v>
      </c>
      <c r="G662" s="302">
        <v>30.636892335464506</v>
      </c>
      <c r="H662" s="302">
        <f t="shared" si="245"/>
        <v>33.960069813612456</v>
      </c>
      <c r="I662" s="303"/>
      <c r="J662" s="302">
        <v>6.3541107184686059</v>
      </c>
      <c r="K662" s="302">
        <v>32.361020610164452</v>
      </c>
      <c r="L662" s="302">
        <f t="shared" si="246"/>
        <v>38.715131328633056</v>
      </c>
      <c r="M662" s="236"/>
      <c r="N662" s="236"/>
    </row>
    <row r="663" spans="1:14" x14ac:dyDescent="0.3">
      <c r="A663" s="237" t="str">
        <f>name!E$12</f>
        <v>Elementary occupations</v>
      </c>
      <c r="B663" s="302">
        <v>31.115229594606479</v>
      </c>
      <c r="C663" s="302">
        <v>65.605916738492795</v>
      </c>
      <c r="D663" s="302">
        <f t="shared" si="244"/>
        <v>96.72114633309927</v>
      </c>
      <c r="E663" s="303"/>
      <c r="F663" s="302">
        <v>33.189079150330244</v>
      </c>
      <c r="G663" s="302">
        <v>65.835340870292853</v>
      </c>
      <c r="H663" s="302">
        <f t="shared" si="245"/>
        <v>99.024420020623097</v>
      </c>
      <c r="I663" s="303"/>
      <c r="J663" s="302">
        <v>34.602318469591836</v>
      </c>
      <c r="K663" s="302">
        <v>64.657971987528398</v>
      </c>
      <c r="L663" s="302">
        <f t="shared" si="246"/>
        <v>99.260290457120234</v>
      </c>
      <c r="M663" s="236"/>
      <c r="N663" s="236"/>
    </row>
    <row r="664" spans="1:14" x14ac:dyDescent="0.3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3">
      <c r="A665" s="244" t="s">
        <v>32</v>
      </c>
      <c r="B665" s="311">
        <f>SUM(B655:B663)</f>
        <v>103.2070000008995</v>
      </c>
      <c r="C665" s="311">
        <f t="shared" ref="C665:D665" si="247">SUM(C655:C663)</f>
        <v>144.72800000154376</v>
      </c>
      <c r="D665" s="311">
        <f t="shared" si="247"/>
        <v>247.93500000244325</v>
      </c>
      <c r="E665" s="311"/>
      <c r="F665" s="311">
        <f t="shared" ref="F665:H665" si="248">SUM(F655:F663)</f>
        <v>125.65400000045943</v>
      </c>
      <c r="G665" s="311">
        <f t="shared" si="248"/>
        <v>157.3349999999183</v>
      </c>
      <c r="H665" s="311">
        <f t="shared" si="248"/>
        <v>282.9890000003777</v>
      </c>
      <c r="I665" s="311"/>
      <c r="J665" s="311">
        <f t="shared" ref="J665:L665" si="249">SUM(J655:J663)</f>
        <v>145.1729999984708</v>
      </c>
      <c r="K665" s="311">
        <f t="shared" si="249"/>
        <v>165.15300000024752</v>
      </c>
      <c r="L665" s="311">
        <f t="shared" si="249"/>
        <v>310.32599999871832</v>
      </c>
      <c r="M665" s="236"/>
      <c r="N665" s="236"/>
    </row>
    <row r="666" spans="1:14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3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3">
      <c r="A669" s="241" t="str">
        <f>name!A42</f>
        <v>Accommodation</v>
      </c>
      <c r="B669" s="373">
        <f>B$6</f>
        <v>2015</v>
      </c>
      <c r="C669" s="373"/>
      <c r="D669" s="373"/>
      <c r="E669" s="253"/>
      <c r="F669" s="373">
        <f>F652</f>
        <v>2020</v>
      </c>
      <c r="G669" s="373"/>
      <c r="H669" s="373"/>
      <c r="I669" s="253"/>
      <c r="J669" s="373">
        <f>J652</f>
        <v>2035</v>
      </c>
      <c r="K669" s="373"/>
      <c r="L669" s="373"/>
      <c r="M669" s="236"/>
      <c r="N669" s="236"/>
    </row>
    <row r="670" spans="1:14" x14ac:dyDescent="0.3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3">
      <c r="A672" s="237" t="str">
        <f>name!E$4</f>
        <v>Managers, directors and senior officials</v>
      </c>
      <c r="B672" s="302">
        <v>25.921554855685095</v>
      </c>
      <c r="C672" s="302">
        <v>28.326713227846007</v>
      </c>
      <c r="D672" s="302">
        <f>SUM(B672:C672)</f>
        <v>54.248268083531102</v>
      </c>
      <c r="E672" s="303"/>
      <c r="F672" s="302">
        <v>29.878302399026776</v>
      </c>
      <c r="G672" s="302">
        <v>31.03209049141029</v>
      </c>
      <c r="H672" s="302">
        <f>SUM(F672:G672)</f>
        <v>60.910392890437066</v>
      </c>
      <c r="I672" s="303"/>
      <c r="J672" s="302">
        <v>40.276509331477904</v>
      </c>
      <c r="K672" s="302">
        <v>42.403506571548512</v>
      </c>
      <c r="L672" s="302">
        <f>SUM(J672:K672)</f>
        <v>82.680015903026415</v>
      </c>
      <c r="M672" s="236"/>
      <c r="N672" s="236"/>
    </row>
    <row r="673" spans="1:14" x14ac:dyDescent="0.3">
      <c r="A673" s="237" t="str">
        <f>name!E$5</f>
        <v>Professional occupations</v>
      </c>
      <c r="B673" s="302">
        <v>7.0961107276722108</v>
      </c>
      <c r="C673" s="302">
        <v>5.9774650902707691</v>
      </c>
      <c r="D673" s="302">
        <f t="shared" ref="D673:D680" si="250">SUM(B673:C673)</f>
        <v>13.073575817942981</v>
      </c>
      <c r="E673" s="303"/>
      <c r="F673" s="302">
        <v>9.1777229016237776</v>
      </c>
      <c r="G673" s="302">
        <v>7.6590702608318306</v>
      </c>
      <c r="H673" s="302">
        <f t="shared" ref="H673:H680" si="251">SUM(F673:G673)</f>
        <v>16.836793162455606</v>
      </c>
      <c r="I673" s="303"/>
      <c r="J673" s="302">
        <v>11.515111586636282</v>
      </c>
      <c r="K673" s="302">
        <v>9.1260010371696705</v>
      </c>
      <c r="L673" s="302">
        <f t="shared" ref="L673:L680" si="252">SUM(J673:K673)</f>
        <v>20.641112623805952</v>
      </c>
      <c r="M673" s="236"/>
      <c r="N673" s="236"/>
    </row>
    <row r="674" spans="1:14" x14ac:dyDescent="0.3">
      <c r="A674" s="237" t="str">
        <f>name!E$6</f>
        <v>Associate professional occupations</v>
      </c>
      <c r="B674" s="302">
        <v>7.8627033610992241</v>
      </c>
      <c r="C674" s="302">
        <v>5.1215293502481245</v>
      </c>
      <c r="D674" s="302">
        <f t="shared" si="250"/>
        <v>12.984232711347349</v>
      </c>
      <c r="E674" s="303"/>
      <c r="F674" s="302">
        <v>9.6272237364563331</v>
      </c>
      <c r="G674" s="302">
        <v>6.0467968676157389</v>
      </c>
      <c r="H674" s="302">
        <f t="shared" si="251"/>
        <v>15.674020604072073</v>
      </c>
      <c r="I674" s="303"/>
      <c r="J674" s="302">
        <v>12.89453422832433</v>
      </c>
      <c r="K674" s="302">
        <v>6.3662624531109104</v>
      </c>
      <c r="L674" s="302">
        <f t="shared" si="252"/>
        <v>19.260796681435242</v>
      </c>
      <c r="M674" s="236"/>
      <c r="N674" s="236"/>
    </row>
    <row r="675" spans="1:14" x14ac:dyDescent="0.3">
      <c r="A675" s="237" t="str">
        <f>name!E$7</f>
        <v>Administrative and secretarial occupations</v>
      </c>
      <c r="B675" s="302">
        <v>15.861059453105034</v>
      </c>
      <c r="C675" s="302">
        <v>5.0202114550344232</v>
      </c>
      <c r="D675" s="302">
        <f t="shared" si="250"/>
        <v>20.881270908139456</v>
      </c>
      <c r="E675" s="303"/>
      <c r="F675" s="302">
        <v>15.941631580307305</v>
      </c>
      <c r="G675" s="302">
        <v>5.4046313292280432</v>
      </c>
      <c r="H675" s="302">
        <f t="shared" si="251"/>
        <v>21.346262909535348</v>
      </c>
      <c r="I675" s="303"/>
      <c r="J675" s="302">
        <v>19.884273257964161</v>
      </c>
      <c r="K675" s="302">
        <v>7.3616915541706973</v>
      </c>
      <c r="L675" s="302">
        <f t="shared" si="252"/>
        <v>27.245964812134858</v>
      </c>
      <c r="M675" s="236"/>
      <c r="N675" s="236"/>
    </row>
    <row r="676" spans="1:14" x14ac:dyDescent="0.3">
      <c r="A676" s="237" t="str">
        <f>name!E$8</f>
        <v>Skilled trades occupations</v>
      </c>
      <c r="B676" s="302">
        <v>20.570998692252463</v>
      </c>
      <c r="C676" s="302">
        <v>42.963917538708827</v>
      </c>
      <c r="D676" s="302">
        <f t="shared" si="250"/>
        <v>63.534916230961286</v>
      </c>
      <c r="E676" s="303"/>
      <c r="F676" s="302">
        <v>19.616910574907827</v>
      </c>
      <c r="G676" s="302">
        <v>34.388976313625989</v>
      </c>
      <c r="H676" s="302">
        <f t="shared" si="251"/>
        <v>54.005886888533816</v>
      </c>
      <c r="I676" s="303"/>
      <c r="J676" s="302">
        <v>20.006736578657875</v>
      </c>
      <c r="K676" s="302">
        <v>34.902500150981048</v>
      </c>
      <c r="L676" s="302">
        <f t="shared" si="252"/>
        <v>54.90923672963892</v>
      </c>
      <c r="M676" s="236"/>
      <c r="N676" s="236"/>
    </row>
    <row r="677" spans="1:14" x14ac:dyDescent="0.3">
      <c r="A677" s="237" t="str">
        <f>name!E$9</f>
        <v>Caring, leisure and other service occupations</v>
      </c>
      <c r="B677" s="302">
        <v>16.28683479879512</v>
      </c>
      <c r="C677" s="302">
        <v>2.9896678674873156</v>
      </c>
      <c r="D677" s="302">
        <f t="shared" si="250"/>
        <v>19.276502666282436</v>
      </c>
      <c r="E677" s="303"/>
      <c r="F677" s="302">
        <v>15.534735250984374</v>
      </c>
      <c r="G677" s="302">
        <v>3.5563360971912581</v>
      </c>
      <c r="H677" s="302">
        <f t="shared" si="251"/>
        <v>19.091071348175632</v>
      </c>
      <c r="I677" s="303"/>
      <c r="J677" s="302">
        <v>20.08237616695985</v>
      </c>
      <c r="K677" s="302">
        <v>4.2799671363989571</v>
      </c>
      <c r="L677" s="302">
        <f t="shared" si="252"/>
        <v>24.362343303358806</v>
      </c>
      <c r="M677" s="236"/>
      <c r="N677" s="236"/>
    </row>
    <row r="678" spans="1:14" x14ac:dyDescent="0.3">
      <c r="A678" s="237" t="str">
        <f>name!E$10</f>
        <v>Sales and customer service occupations</v>
      </c>
      <c r="B678" s="302">
        <v>17.968599784950481</v>
      </c>
      <c r="C678" s="302">
        <v>11.068918362663375</v>
      </c>
      <c r="D678" s="302">
        <f t="shared" si="250"/>
        <v>29.037518147613856</v>
      </c>
      <c r="E678" s="303"/>
      <c r="F678" s="302">
        <v>18.859102968927616</v>
      </c>
      <c r="G678" s="302">
        <v>12.697745505379622</v>
      </c>
      <c r="H678" s="302">
        <f t="shared" si="251"/>
        <v>31.556848474307237</v>
      </c>
      <c r="I678" s="303"/>
      <c r="J678" s="302">
        <v>25.643747490200731</v>
      </c>
      <c r="K678" s="302">
        <v>15.611735996649438</v>
      </c>
      <c r="L678" s="302">
        <f t="shared" si="252"/>
        <v>41.255483486850167</v>
      </c>
      <c r="M678" s="236"/>
      <c r="N678" s="236"/>
    </row>
    <row r="679" spans="1:14" x14ac:dyDescent="0.3">
      <c r="A679" s="237" t="str">
        <f>name!E$11</f>
        <v>Process, plant and machine operatives</v>
      </c>
      <c r="B679" s="302">
        <v>2.0876129304036932</v>
      </c>
      <c r="C679" s="302">
        <v>7.7057876476267584</v>
      </c>
      <c r="D679" s="302">
        <f t="shared" si="250"/>
        <v>9.7934005780304521</v>
      </c>
      <c r="E679" s="303"/>
      <c r="F679" s="302">
        <v>1.8075034527093918</v>
      </c>
      <c r="G679" s="302">
        <v>8.5596897094090121</v>
      </c>
      <c r="H679" s="302">
        <f t="shared" si="251"/>
        <v>10.367193162118404</v>
      </c>
      <c r="I679" s="303"/>
      <c r="J679" s="302">
        <v>4.6740942456229</v>
      </c>
      <c r="K679" s="302">
        <v>11.414289089619585</v>
      </c>
      <c r="L679" s="302">
        <f t="shared" si="252"/>
        <v>16.088383335242483</v>
      </c>
      <c r="M679" s="236"/>
      <c r="N679" s="236"/>
    </row>
    <row r="680" spans="1:14" x14ac:dyDescent="0.3">
      <c r="A680" s="237" t="str">
        <f>name!E$12</f>
        <v>Elementary occupations</v>
      </c>
      <c r="B680" s="302">
        <v>104.48652539956053</v>
      </c>
      <c r="C680" s="302">
        <v>60.740789461787706</v>
      </c>
      <c r="D680" s="302">
        <f t="shared" si="250"/>
        <v>165.22731486134825</v>
      </c>
      <c r="E680" s="303"/>
      <c r="F680" s="302">
        <v>108.55786713730222</v>
      </c>
      <c r="G680" s="302">
        <v>61.954663424822073</v>
      </c>
      <c r="H680" s="302">
        <f t="shared" si="251"/>
        <v>170.51253056212431</v>
      </c>
      <c r="I680" s="303"/>
      <c r="J680" s="302">
        <v>128.71861711167577</v>
      </c>
      <c r="K680" s="302">
        <v>71.959046010387439</v>
      </c>
      <c r="L680" s="302">
        <f t="shared" si="252"/>
        <v>200.67766312206322</v>
      </c>
      <c r="M680" s="236"/>
      <c r="N680" s="236"/>
    </row>
    <row r="681" spans="1:14" x14ac:dyDescent="0.3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3">
      <c r="A682" s="244" t="s">
        <v>32</v>
      </c>
      <c r="B682" s="311">
        <f>SUM(B672:B680)</f>
        <v>218.14200000352383</v>
      </c>
      <c r="C682" s="311">
        <f t="shared" ref="C682:D682" si="253">SUM(C672:C680)</f>
        <v>169.91500000167332</v>
      </c>
      <c r="D682" s="311">
        <f t="shared" si="253"/>
        <v>388.05700000519721</v>
      </c>
      <c r="E682" s="311"/>
      <c r="F682" s="311">
        <f t="shared" ref="F682:H682" si="254">SUM(F672:F680)</f>
        <v>229.00100000224563</v>
      </c>
      <c r="G682" s="311">
        <f t="shared" si="254"/>
        <v>171.29999999951389</v>
      </c>
      <c r="H682" s="311">
        <f t="shared" si="254"/>
        <v>400.30100000175946</v>
      </c>
      <c r="I682" s="311"/>
      <c r="J682" s="311">
        <f t="shared" ref="J682:L682" si="255">SUM(J672:J680)</f>
        <v>283.69599999751983</v>
      </c>
      <c r="K682" s="311">
        <f t="shared" si="255"/>
        <v>203.42500000003628</v>
      </c>
      <c r="L682" s="311">
        <f t="shared" si="255"/>
        <v>487.12099999755611</v>
      </c>
      <c r="M682" s="236"/>
      <c r="N682" s="236"/>
    </row>
    <row r="683" spans="1:14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3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3">
      <c r="A686" s="241" t="str">
        <f>name!A43</f>
        <v>Food and beverage services</v>
      </c>
      <c r="B686" s="373">
        <f>B$6</f>
        <v>2015</v>
      </c>
      <c r="C686" s="373"/>
      <c r="D686" s="373"/>
      <c r="E686" s="253"/>
      <c r="F686" s="373">
        <f>F669</f>
        <v>2020</v>
      </c>
      <c r="G686" s="373"/>
      <c r="H686" s="373"/>
      <c r="I686" s="253"/>
      <c r="J686" s="373">
        <f>J669</f>
        <v>2035</v>
      </c>
      <c r="K686" s="373"/>
      <c r="L686" s="373"/>
      <c r="M686" s="236"/>
      <c r="N686" s="236"/>
    </row>
    <row r="687" spans="1:14" x14ac:dyDescent="0.3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3">
      <c r="A689" s="237" t="str">
        <f>name!E$4</f>
        <v>Managers, directors and senior officials</v>
      </c>
      <c r="B689" s="302">
        <v>58.561890196562864</v>
      </c>
      <c r="C689" s="302">
        <v>92.074764701258616</v>
      </c>
      <c r="D689" s="302">
        <f>SUM(B689:C689)</f>
        <v>150.63665489782147</v>
      </c>
      <c r="E689" s="303"/>
      <c r="F689" s="302">
        <v>79.829332858935857</v>
      </c>
      <c r="G689" s="302">
        <v>104.37378038415753</v>
      </c>
      <c r="H689" s="302">
        <f>SUM(F689:G689)</f>
        <v>184.20311324309338</v>
      </c>
      <c r="I689" s="303"/>
      <c r="J689" s="302">
        <v>108.95133549561884</v>
      </c>
      <c r="K689" s="302">
        <v>153.34973055739437</v>
      </c>
      <c r="L689" s="302">
        <f>SUM(J689:K689)</f>
        <v>262.30106605301319</v>
      </c>
      <c r="M689" s="236"/>
      <c r="N689" s="236"/>
    </row>
    <row r="690" spans="1:14" x14ac:dyDescent="0.3">
      <c r="A690" s="237" t="str">
        <f>name!E$5</f>
        <v>Professional occupations</v>
      </c>
      <c r="B690" s="302">
        <v>19.048555424538687</v>
      </c>
      <c r="C690" s="302">
        <v>19.127484839886932</v>
      </c>
      <c r="D690" s="302">
        <f t="shared" ref="D690:D697" si="256">SUM(B690:C690)</f>
        <v>38.176040264425623</v>
      </c>
      <c r="E690" s="303"/>
      <c r="F690" s="302">
        <v>31.088504980571123</v>
      </c>
      <c r="G690" s="302">
        <v>27.857790852043369</v>
      </c>
      <c r="H690" s="302">
        <f t="shared" ref="H690:H697" si="257">SUM(F690:G690)</f>
        <v>58.946295832614496</v>
      </c>
      <c r="I690" s="303"/>
      <c r="J690" s="302">
        <v>40.576320251426864</v>
      </c>
      <c r="K690" s="302">
        <v>36.414278275546295</v>
      </c>
      <c r="L690" s="302">
        <f t="shared" ref="L690:L697" si="258">SUM(J690:K690)</f>
        <v>76.990598526973159</v>
      </c>
      <c r="M690" s="236"/>
      <c r="N690" s="236"/>
    </row>
    <row r="691" spans="1:14" x14ac:dyDescent="0.3">
      <c r="A691" s="237" t="str">
        <f>name!E$6</f>
        <v>Associate professional occupations</v>
      </c>
      <c r="B691" s="302">
        <v>24.030747320960131</v>
      </c>
      <c r="C691" s="302">
        <v>18.662842745971979</v>
      </c>
      <c r="D691" s="302">
        <f t="shared" si="256"/>
        <v>42.69359006693211</v>
      </c>
      <c r="E691" s="303"/>
      <c r="F691" s="302">
        <v>34.683631614929325</v>
      </c>
      <c r="G691" s="302">
        <v>24.594712049921995</v>
      </c>
      <c r="H691" s="302">
        <f t="shared" si="257"/>
        <v>59.27834366485132</v>
      </c>
      <c r="I691" s="303"/>
      <c r="J691" s="302">
        <v>46.53519120566331</v>
      </c>
      <c r="K691" s="302">
        <v>28.631068745156423</v>
      </c>
      <c r="L691" s="302">
        <f t="shared" si="258"/>
        <v>75.166259950819736</v>
      </c>
      <c r="M691" s="236"/>
      <c r="N691" s="236"/>
    </row>
    <row r="692" spans="1:14" x14ac:dyDescent="0.3">
      <c r="A692" s="237" t="str">
        <f>name!E$7</f>
        <v>Administrative and secretarial occupations</v>
      </c>
      <c r="B692" s="302">
        <v>47.167787377502812</v>
      </c>
      <c r="C692" s="302">
        <v>17.790461873142746</v>
      </c>
      <c r="D692" s="302">
        <f t="shared" si="256"/>
        <v>64.958249250645565</v>
      </c>
      <c r="E692" s="303"/>
      <c r="F692" s="302">
        <v>56.817477162319918</v>
      </c>
      <c r="G692" s="302">
        <v>22.123347570072951</v>
      </c>
      <c r="H692" s="302">
        <f t="shared" si="257"/>
        <v>78.940824732392869</v>
      </c>
      <c r="I692" s="303"/>
      <c r="J692" s="302">
        <v>70.834574241538917</v>
      </c>
      <c r="K692" s="302">
        <v>30.330407704082823</v>
      </c>
      <c r="L692" s="302">
        <f t="shared" si="258"/>
        <v>101.16498194562175</v>
      </c>
      <c r="M692" s="236"/>
      <c r="N692" s="236"/>
    </row>
    <row r="693" spans="1:14" x14ac:dyDescent="0.3">
      <c r="A693" s="237" t="str">
        <f>name!E$8</f>
        <v>Skilled trades occupations</v>
      </c>
      <c r="B693" s="302">
        <v>58.461721590257987</v>
      </c>
      <c r="C693" s="302">
        <v>167.20226625395259</v>
      </c>
      <c r="D693" s="302">
        <f t="shared" si="256"/>
        <v>225.66398784421057</v>
      </c>
      <c r="E693" s="303"/>
      <c r="F693" s="302">
        <v>63.388540904933592</v>
      </c>
      <c r="G693" s="302">
        <v>136.21628097987727</v>
      </c>
      <c r="H693" s="302">
        <f t="shared" si="257"/>
        <v>199.60482188481086</v>
      </c>
      <c r="I693" s="303"/>
      <c r="J693" s="302">
        <v>61.030161101333789</v>
      </c>
      <c r="K693" s="302">
        <v>141.86870372883814</v>
      </c>
      <c r="L693" s="302">
        <f t="shared" si="258"/>
        <v>202.89886483017193</v>
      </c>
      <c r="M693" s="236"/>
      <c r="N693" s="236"/>
    </row>
    <row r="694" spans="1:14" x14ac:dyDescent="0.3">
      <c r="A694" s="237" t="str">
        <f>name!E$9</f>
        <v>Caring, leisure and other service occupations</v>
      </c>
      <c r="B694" s="302">
        <v>52.088995198110403</v>
      </c>
      <c r="C694" s="302">
        <v>12.725284884593409</v>
      </c>
      <c r="D694" s="302">
        <f t="shared" si="256"/>
        <v>64.814280082703817</v>
      </c>
      <c r="E694" s="303"/>
      <c r="F694" s="302">
        <v>56.215257811340088</v>
      </c>
      <c r="G694" s="302">
        <v>16.325648305857477</v>
      </c>
      <c r="H694" s="302">
        <f t="shared" si="257"/>
        <v>72.540906117197565</v>
      </c>
      <c r="I694" s="303"/>
      <c r="J694" s="302">
        <v>69.347342716524579</v>
      </c>
      <c r="K694" s="302">
        <v>19.481874520223414</v>
      </c>
      <c r="L694" s="302">
        <f t="shared" si="258"/>
        <v>88.829217236747994</v>
      </c>
      <c r="M694" s="236"/>
      <c r="N694" s="236"/>
    </row>
    <row r="695" spans="1:14" x14ac:dyDescent="0.3">
      <c r="A695" s="237" t="str">
        <f>name!E$10</f>
        <v>Sales and customer service occupations</v>
      </c>
      <c r="B695" s="302">
        <v>59.625338016283365</v>
      </c>
      <c r="C695" s="302">
        <v>53.260645700949823</v>
      </c>
      <c r="D695" s="302">
        <f t="shared" si="256"/>
        <v>112.88598371723319</v>
      </c>
      <c r="E695" s="303"/>
      <c r="F695" s="302">
        <v>69.396320765884028</v>
      </c>
      <c r="G695" s="302">
        <v>60.115277995273473</v>
      </c>
      <c r="H695" s="302">
        <f t="shared" si="257"/>
        <v>129.5115987611575</v>
      </c>
      <c r="I695" s="303"/>
      <c r="J695" s="302">
        <v>92.069240520007014</v>
      </c>
      <c r="K695" s="302">
        <v>73.559310829032611</v>
      </c>
      <c r="L695" s="302">
        <f t="shared" si="258"/>
        <v>165.62855134903964</v>
      </c>
      <c r="M695" s="236"/>
      <c r="N695" s="236"/>
    </row>
    <row r="696" spans="1:14" x14ac:dyDescent="0.3">
      <c r="A696" s="237" t="str">
        <f>name!E$11</f>
        <v>Process, plant and machine operatives</v>
      </c>
      <c r="B696" s="302">
        <v>7.0109364810867945</v>
      </c>
      <c r="C696" s="302">
        <v>38.489377198054001</v>
      </c>
      <c r="D696" s="302">
        <f t="shared" si="256"/>
        <v>45.500313679140795</v>
      </c>
      <c r="E696" s="303"/>
      <c r="F696" s="302">
        <v>6.9964251152647998</v>
      </c>
      <c r="G696" s="302">
        <v>45.136323521623176</v>
      </c>
      <c r="H696" s="302">
        <f t="shared" si="257"/>
        <v>52.132748636887975</v>
      </c>
      <c r="I696" s="303"/>
      <c r="J696" s="302">
        <v>17.882289106704754</v>
      </c>
      <c r="K696" s="302">
        <v>62.258664983416956</v>
      </c>
      <c r="L696" s="302">
        <f t="shared" si="258"/>
        <v>80.14095409012171</v>
      </c>
      <c r="M696" s="236"/>
      <c r="N696" s="236"/>
    </row>
    <row r="697" spans="1:14" x14ac:dyDescent="0.3">
      <c r="A697" s="237" t="str">
        <f>name!E$12</f>
        <v>Elementary occupations</v>
      </c>
      <c r="B697" s="302">
        <v>435.01002841122835</v>
      </c>
      <c r="C697" s="302">
        <v>315.00287181195102</v>
      </c>
      <c r="D697" s="302">
        <f t="shared" si="256"/>
        <v>750.01290022317937</v>
      </c>
      <c r="E697" s="303"/>
      <c r="F697" s="302">
        <v>465.49450879701942</v>
      </c>
      <c r="G697" s="302">
        <v>335.14483833797249</v>
      </c>
      <c r="H697" s="302">
        <f t="shared" si="257"/>
        <v>800.63934713499191</v>
      </c>
      <c r="I697" s="303"/>
      <c r="J697" s="302">
        <v>515.19954535189788</v>
      </c>
      <c r="K697" s="302">
        <v>385.91896065660393</v>
      </c>
      <c r="L697" s="302">
        <f t="shared" si="258"/>
        <v>901.11850600850175</v>
      </c>
      <c r="M697" s="236"/>
      <c r="N697" s="236"/>
    </row>
    <row r="698" spans="1:14" x14ac:dyDescent="0.3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3">
      <c r="A699" s="244" t="s">
        <v>32</v>
      </c>
      <c r="B699" s="311">
        <f>SUM(B689:B697)</f>
        <v>761.00600001653129</v>
      </c>
      <c r="C699" s="311">
        <f t="shared" ref="C699:D699" si="259">SUM(C689:C697)</f>
        <v>734.33600000976116</v>
      </c>
      <c r="D699" s="311">
        <f t="shared" si="259"/>
        <v>1495.3420000262927</v>
      </c>
      <c r="E699" s="311"/>
      <c r="F699" s="311">
        <f t="shared" ref="F699:H699" si="260">SUM(F689:F697)</f>
        <v>863.91000001119824</v>
      </c>
      <c r="G699" s="311">
        <f t="shared" si="260"/>
        <v>771.88799999679964</v>
      </c>
      <c r="H699" s="311">
        <f t="shared" si="260"/>
        <v>1635.7980000079979</v>
      </c>
      <c r="I699" s="311"/>
      <c r="J699" s="311">
        <f t="shared" ref="J699:L699" si="261">SUM(J689:J697)</f>
        <v>1022.4259999907159</v>
      </c>
      <c r="K699" s="311">
        <f t="shared" si="261"/>
        <v>931.81300000029501</v>
      </c>
      <c r="L699" s="311">
        <f t="shared" si="261"/>
        <v>1954.2389999910108</v>
      </c>
      <c r="M699" s="236"/>
      <c r="N699" s="236"/>
    </row>
    <row r="700" spans="1:14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3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3">
      <c r="A703" s="241" t="str">
        <f>name!A44</f>
        <v>Publishing activities</v>
      </c>
      <c r="B703" s="373">
        <f>B$6</f>
        <v>2015</v>
      </c>
      <c r="C703" s="373"/>
      <c r="D703" s="373"/>
      <c r="E703" s="253"/>
      <c r="F703" s="373">
        <f>F686</f>
        <v>2020</v>
      </c>
      <c r="G703" s="373"/>
      <c r="H703" s="373"/>
      <c r="I703" s="253"/>
      <c r="J703" s="373">
        <f>J686</f>
        <v>2035</v>
      </c>
      <c r="K703" s="373"/>
      <c r="L703" s="373"/>
      <c r="M703" s="236"/>
      <c r="N703" s="236"/>
    </row>
    <row r="704" spans="1:14" x14ac:dyDescent="0.3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3">
      <c r="A706" s="237" t="str">
        <f>name!E$4</f>
        <v>Managers, directors and senior officials</v>
      </c>
      <c r="B706" s="302">
        <v>7.6872640223457962</v>
      </c>
      <c r="C706" s="302">
        <v>20.224322477709944</v>
      </c>
      <c r="D706" s="302">
        <f>SUM(B706:C706)</f>
        <v>27.911586500055741</v>
      </c>
      <c r="E706" s="303"/>
      <c r="F706" s="302">
        <v>8.5105742580291697</v>
      </c>
      <c r="G706" s="302">
        <v>17.998970438095796</v>
      </c>
      <c r="H706" s="302">
        <f>SUM(F706:G706)</f>
        <v>26.509544696124966</v>
      </c>
      <c r="I706" s="303"/>
      <c r="J706" s="302">
        <v>8.9234323119272343</v>
      </c>
      <c r="K706" s="302">
        <v>19.137759186028813</v>
      </c>
      <c r="L706" s="302">
        <f>SUM(J706:K706)</f>
        <v>28.061191497956045</v>
      </c>
      <c r="M706" s="236"/>
      <c r="N706" s="236"/>
    </row>
    <row r="707" spans="1:14" x14ac:dyDescent="0.3">
      <c r="A707" s="237" t="str">
        <f>name!E$5</f>
        <v>Professional occupations</v>
      </c>
      <c r="B707" s="302">
        <v>12.587703079545074</v>
      </c>
      <c r="C707" s="302">
        <v>29.463337668440413</v>
      </c>
      <c r="D707" s="302">
        <f t="shared" ref="D707:D714" si="262">SUM(B707:C707)</f>
        <v>42.051040747985489</v>
      </c>
      <c r="E707" s="303"/>
      <c r="F707" s="302">
        <v>14.280549755264682</v>
      </c>
      <c r="G707" s="302">
        <v>29.064917683820138</v>
      </c>
      <c r="H707" s="302">
        <f t="shared" ref="H707:H714" si="263">SUM(F707:G707)</f>
        <v>43.345467439084821</v>
      </c>
      <c r="I707" s="303"/>
      <c r="J707" s="302">
        <v>16.115946408895656</v>
      </c>
      <c r="K707" s="302">
        <v>32.188268788647342</v>
      </c>
      <c r="L707" s="302">
        <f t="shared" ref="L707:L714" si="264">SUM(J707:K707)</f>
        <v>48.304215197543002</v>
      </c>
      <c r="M707" s="236"/>
      <c r="N707" s="236"/>
    </row>
    <row r="708" spans="1:14" x14ac:dyDescent="0.3">
      <c r="A708" s="237" t="str">
        <f>name!E$6</f>
        <v>Associate professional occupations</v>
      </c>
      <c r="B708" s="302">
        <v>21.816908843408836</v>
      </c>
      <c r="C708" s="302">
        <v>23.35187516277421</v>
      </c>
      <c r="D708" s="302">
        <f t="shared" si="262"/>
        <v>45.168784006183046</v>
      </c>
      <c r="E708" s="303"/>
      <c r="F708" s="302">
        <v>23.100258254686949</v>
      </c>
      <c r="G708" s="302">
        <v>20.949595238044029</v>
      </c>
      <c r="H708" s="302">
        <f t="shared" si="263"/>
        <v>44.049853492730975</v>
      </c>
      <c r="I708" s="303"/>
      <c r="J708" s="302">
        <v>23.514742245472295</v>
      </c>
      <c r="K708" s="302">
        <v>20.727665630016332</v>
      </c>
      <c r="L708" s="302">
        <f t="shared" si="264"/>
        <v>44.242407875488624</v>
      </c>
      <c r="M708" s="236"/>
      <c r="N708" s="236"/>
    </row>
    <row r="709" spans="1:14" x14ac:dyDescent="0.3">
      <c r="A709" s="237" t="str">
        <f>name!E$7</f>
        <v>Administrative and secretarial occupations</v>
      </c>
      <c r="B709" s="302">
        <v>9.7637677451041043</v>
      </c>
      <c r="C709" s="302">
        <v>2.6223910715704988</v>
      </c>
      <c r="D709" s="302">
        <f t="shared" si="262"/>
        <v>12.386158816674604</v>
      </c>
      <c r="E709" s="303"/>
      <c r="F709" s="302">
        <v>7.3560802289615186</v>
      </c>
      <c r="G709" s="302">
        <v>2.2194886916582472</v>
      </c>
      <c r="H709" s="302">
        <f t="shared" si="263"/>
        <v>9.5755689206197658</v>
      </c>
      <c r="I709" s="303"/>
      <c r="J709" s="302">
        <v>4.8769569681128475</v>
      </c>
      <c r="K709" s="302">
        <v>1.8555944330178218</v>
      </c>
      <c r="L709" s="302">
        <f t="shared" si="264"/>
        <v>6.7325514011306691</v>
      </c>
      <c r="M709" s="236"/>
      <c r="N709" s="236"/>
    </row>
    <row r="710" spans="1:14" x14ac:dyDescent="0.3">
      <c r="A710" s="237" t="str">
        <f>name!E$8</f>
        <v>Skilled trades occupations</v>
      </c>
      <c r="B710" s="302">
        <v>2.1623865366715744</v>
      </c>
      <c r="C710" s="302">
        <v>11.539440047035209</v>
      </c>
      <c r="D710" s="302">
        <f t="shared" si="262"/>
        <v>13.701826583706783</v>
      </c>
      <c r="E710" s="303"/>
      <c r="F710" s="302">
        <v>1.8845084864562045</v>
      </c>
      <c r="G710" s="302">
        <v>7.1759075363723728</v>
      </c>
      <c r="H710" s="302">
        <f t="shared" si="263"/>
        <v>9.0604160228285764</v>
      </c>
      <c r="I710" s="303"/>
      <c r="J710" s="302">
        <v>1.9068562348627427</v>
      </c>
      <c r="K710" s="302">
        <v>5.5945086671317563</v>
      </c>
      <c r="L710" s="302">
        <f t="shared" si="264"/>
        <v>7.5013649019944992</v>
      </c>
      <c r="M710" s="236"/>
      <c r="N710" s="236"/>
    </row>
    <row r="711" spans="1:14" x14ac:dyDescent="0.3">
      <c r="A711" s="237" t="str">
        <f>name!E$9</f>
        <v>Caring, leisure and other service occupations</v>
      </c>
      <c r="B711" s="302">
        <v>0.84973880208083541</v>
      </c>
      <c r="C711" s="302">
        <v>0.79025117772037112</v>
      </c>
      <c r="D711" s="302">
        <f t="shared" si="262"/>
        <v>1.6399899798012065</v>
      </c>
      <c r="E711" s="303"/>
      <c r="F711" s="302">
        <v>0.82159567109846887</v>
      </c>
      <c r="G711" s="302">
        <v>0.64798530277049182</v>
      </c>
      <c r="H711" s="302">
        <f t="shared" si="263"/>
        <v>1.4695809738689607</v>
      </c>
      <c r="I711" s="303"/>
      <c r="J711" s="302">
        <v>0.81057785066472088</v>
      </c>
      <c r="K711" s="302">
        <v>0.91049811756760246</v>
      </c>
      <c r="L711" s="302">
        <f t="shared" si="264"/>
        <v>1.7210759682323233</v>
      </c>
      <c r="M711" s="236"/>
      <c r="N711" s="236"/>
    </row>
    <row r="712" spans="1:14" x14ac:dyDescent="0.3">
      <c r="A712" s="237" t="str">
        <f>name!E$10</f>
        <v>Sales and customer service occupations</v>
      </c>
      <c r="B712" s="302">
        <v>4.1308581277408427</v>
      </c>
      <c r="C712" s="302">
        <v>2.7805828895451987</v>
      </c>
      <c r="D712" s="302">
        <f t="shared" si="262"/>
        <v>6.911441017286041</v>
      </c>
      <c r="E712" s="303"/>
      <c r="F712" s="302">
        <v>3.155976691712115</v>
      </c>
      <c r="G712" s="302">
        <v>1.9304656186307556</v>
      </c>
      <c r="H712" s="302">
        <f t="shared" si="263"/>
        <v>5.0864423103428704</v>
      </c>
      <c r="I712" s="303"/>
      <c r="J712" s="302">
        <v>2.8973417397404173</v>
      </c>
      <c r="K712" s="302">
        <v>2.0801320363850868</v>
      </c>
      <c r="L712" s="302">
        <f t="shared" si="264"/>
        <v>4.9774737761255041</v>
      </c>
      <c r="M712" s="236"/>
      <c r="N712" s="236"/>
    </row>
    <row r="713" spans="1:14" x14ac:dyDescent="0.3">
      <c r="A713" s="237" t="str">
        <f>name!E$11</f>
        <v>Process, plant and machine operatives</v>
      </c>
      <c r="B713" s="302">
        <v>0.94024464905264926</v>
      </c>
      <c r="C713" s="302">
        <v>3.3441355414775145</v>
      </c>
      <c r="D713" s="302">
        <f t="shared" si="262"/>
        <v>4.2843801905301637</v>
      </c>
      <c r="E713" s="303"/>
      <c r="F713" s="302">
        <v>0.95592956073086766</v>
      </c>
      <c r="G713" s="302">
        <v>2.2799659387808267</v>
      </c>
      <c r="H713" s="302">
        <f t="shared" si="263"/>
        <v>3.2358954995116944</v>
      </c>
      <c r="I713" s="303"/>
      <c r="J713" s="302">
        <v>0.99910072743095157</v>
      </c>
      <c r="K713" s="302">
        <v>2.2800523124623169</v>
      </c>
      <c r="L713" s="302">
        <f t="shared" si="264"/>
        <v>3.2791530398932682</v>
      </c>
      <c r="M713" s="236"/>
      <c r="N713" s="236"/>
    </row>
    <row r="714" spans="1:14" x14ac:dyDescent="0.3">
      <c r="A714" s="237" t="str">
        <f>name!E$12</f>
        <v>Elementary occupations</v>
      </c>
      <c r="B714" s="302">
        <v>3.9901281937448894</v>
      </c>
      <c r="C714" s="302">
        <v>5.0106639634319619</v>
      </c>
      <c r="D714" s="302">
        <f t="shared" si="262"/>
        <v>9.0007921571768517</v>
      </c>
      <c r="E714" s="303"/>
      <c r="F714" s="302">
        <v>3.1435270924743679</v>
      </c>
      <c r="G714" s="302">
        <v>2.7747035522598251</v>
      </c>
      <c r="H714" s="302">
        <f t="shared" si="263"/>
        <v>5.9182306447341926</v>
      </c>
      <c r="I714" s="303"/>
      <c r="J714" s="302">
        <v>2.8930455129667489</v>
      </c>
      <c r="K714" s="302">
        <v>1.6515208296789619</v>
      </c>
      <c r="L714" s="302">
        <f t="shared" si="264"/>
        <v>4.5445663426457106</v>
      </c>
      <c r="M714" s="236"/>
      <c r="N714" s="236"/>
    </row>
    <row r="715" spans="1:14" x14ac:dyDescent="0.3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3">
      <c r="A716" s="244" t="s">
        <v>32</v>
      </c>
      <c r="B716" s="311">
        <f>SUM(B706:B714)</f>
        <v>63.928999999694604</v>
      </c>
      <c r="C716" s="311">
        <f t="shared" ref="C716:D716" si="265">SUM(C706:C714)</f>
        <v>99.126999999705333</v>
      </c>
      <c r="D716" s="311">
        <f t="shared" si="265"/>
        <v>163.05599999939994</v>
      </c>
      <c r="E716" s="311"/>
      <c r="F716" s="311">
        <f t="shared" ref="F716:H716" si="266">SUM(F706:F714)</f>
        <v>63.208999999414338</v>
      </c>
      <c r="G716" s="311">
        <f t="shared" si="266"/>
        <v>85.042000000432495</v>
      </c>
      <c r="H716" s="311">
        <f t="shared" si="266"/>
        <v>148.25099999984684</v>
      </c>
      <c r="I716" s="311"/>
      <c r="J716" s="311">
        <f t="shared" ref="J716:L716" si="267">SUM(J706:J714)</f>
        <v>62.938000000073622</v>
      </c>
      <c r="K716" s="311">
        <f t="shared" si="267"/>
        <v>86.426000000936028</v>
      </c>
      <c r="L716" s="311">
        <f t="shared" si="267"/>
        <v>149.36400000100963</v>
      </c>
      <c r="M716" s="236"/>
      <c r="N716" s="236"/>
    </row>
    <row r="717" spans="1:14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3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3">
      <c r="A720" s="241" t="str">
        <f>name!A45</f>
        <v>Film and music</v>
      </c>
      <c r="B720" s="373">
        <f>B$6</f>
        <v>2015</v>
      </c>
      <c r="C720" s="373"/>
      <c r="D720" s="373"/>
      <c r="E720" s="253"/>
      <c r="F720" s="373">
        <f>F703</f>
        <v>2020</v>
      </c>
      <c r="G720" s="373"/>
      <c r="H720" s="373"/>
      <c r="I720" s="253"/>
      <c r="J720" s="373">
        <f>J703</f>
        <v>2035</v>
      </c>
      <c r="K720" s="373"/>
      <c r="L720" s="373"/>
      <c r="M720" s="236"/>
      <c r="N720" s="236"/>
    </row>
    <row r="721" spans="1:14" x14ac:dyDescent="0.3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3">
      <c r="A723" s="237" t="str">
        <f>name!E$4</f>
        <v>Managers, directors and senior officials</v>
      </c>
      <c r="B723" s="302">
        <v>8.527222295758083</v>
      </c>
      <c r="C723" s="302">
        <v>7.8786100810337123</v>
      </c>
      <c r="D723" s="302">
        <f>SUM(B723:C723)</f>
        <v>16.405832376791796</v>
      </c>
      <c r="E723" s="303"/>
      <c r="F723" s="302">
        <v>9.6060945258223001</v>
      </c>
      <c r="G723" s="302">
        <v>8.489196264819336</v>
      </c>
      <c r="H723" s="302">
        <f>SUM(F723:G723)</f>
        <v>18.095290790641634</v>
      </c>
      <c r="I723" s="303"/>
      <c r="J723" s="302">
        <v>11.35045057831403</v>
      </c>
      <c r="K723" s="302">
        <v>9.4578229388772606</v>
      </c>
      <c r="L723" s="302">
        <f>SUM(J723:K723)</f>
        <v>20.808273517191289</v>
      </c>
      <c r="M723" s="236"/>
      <c r="N723" s="236"/>
    </row>
    <row r="724" spans="1:14" x14ac:dyDescent="0.3">
      <c r="A724" s="237" t="str">
        <f>name!E$5</f>
        <v>Professional occupations</v>
      </c>
      <c r="B724" s="302">
        <v>13.692230550400087</v>
      </c>
      <c r="C724" s="302">
        <v>11.895845218471608</v>
      </c>
      <c r="D724" s="302">
        <f t="shared" ref="D724:D731" si="268">SUM(B724:C724)</f>
        <v>25.588075768871697</v>
      </c>
      <c r="E724" s="303"/>
      <c r="F724" s="302">
        <v>18.621234127206939</v>
      </c>
      <c r="G724" s="302">
        <v>14.141517671142935</v>
      </c>
      <c r="H724" s="302">
        <f t="shared" ref="H724:H731" si="269">SUM(F724:G724)</f>
        <v>32.762751798349875</v>
      </c>
      <c r="I724" s="303"/>
      <c r="J724" s="302">
        <v>22.007677505611742</v>
      </c>
      <c r="K724" s="302">
        <v>15.654927169559041</v>
      </c>
      <c r="L724" s="302">
        <f t="shared" ref="L724:L731" si="270">SUM(J724:K724)</f>
        <v>37.662604675170783</v>
      </c>
      <c r="M724" s="236"/>
      <c r="N724" s="236"/>
    </row>
    <row r="725" spans="1:14" x14ac:dyDescent="0.3">
      <c r="A725" s="237" t="str">
        <f>name!E$6</f>
        <v>Associate professional occupations</v>
      </c>
      <c r="B725" s="302">
        <v>16.716755453924378</v>
      </c>
      <c r="C725" s="302">
        <v>24.432717998936855</v>
      </c>
      <c r="D725" s="302">
        <f t="shared" si="268"/>
        <v>41.14947345286123</v>
      </c>
      <c r="E725" s="303"/>
      <c r="F725" s="302">
        <v>19.434482568893902</v>
      </c>
      <c r="G725" s="302">
        <v>26.696834599252433</v>
      </c>
      <c r="H725" s="302">
        <f t="shared" si="269"/>
        <v>46.131317168146339</v>
      </c>
      <c r="I725" s="303"/>
      <c r="J725" s="302">
        <v>20.331562539464144</v>
      </c>
      <c r="K725" s="302">
        <v>26.93641615366608</v>
      </c>
      <c r="L725" s="302">
        <f t="shared" si="270"/>
        <v>47.267978693130225</v>
      </c>
      <c r="M725" s="236"/>
      <c r="N725" s="236"/>
    </row>
    <row r="726" spans="1:14" x14ac:dyDescent="0.3">
      <c r="A726" s="237" t="str">
        <f>name!E$7</f>
        <v>Administrative and secretarial occupations</v>
      </c>
      <c r="B726" s="302">
        <v>11.688840733700284</v>
      </c>
      <c r="C726" s="302">
        <v>2.3154530184599453</v>
      </c>
      <c r="D726" s="302">
        <f t="shared" si="268"/>
        <v>14.00429375216023</v>
      </c>
      <c r="E726" s="303"/>
      <c r="F726" s="302">
        <v>12.779970486416378</v>
      </c>
      <c r="G726" s="302">
        <v>3.5431361481825547</v>
      </c>
      <c r="H726" s="302">
        <f t="shared" si="269"/>
        <v>16.323106634598933</v>
      </c>
      <c r="I726" s="303"/>
      <c r="J726" s="302">
        <v>9.8715398149984974</v>
      </c>
      <c r="K726" s="302">
        <v>3.1569608371959439</v>
      </c>
      <c r="L726" s="302">
        <f t="shared" si="270"/>
        <v>13.028500652194442</v>
      </c>
      <c r="M726" s="236"/>
      <c r="N726" s="236"/>
    </row>
    <row r="727" spans="1:14" x14ac:dyDescent="0.3">
      <c r="A727" s="237" t="str">
        <f>name!E$8</f>
        <v>Skilled trades occupations</v>
      </c>
      <c r="B727" s="302">
        <v>2.1781794722009544</v>
      </c>
      <c r="C727" s="302">
        <v>5.9640558659794758</v>
      </c>
      <c r="D727" s="302">
        <f t="shared" si="268"/>
        <v>8.1422353381804307</v>
      </c>
      <c r="E727" s="303"/>
      <c r="F727" s="302">
        <v>2.3021455640548729</v>
      </c>
      <c r="G727" s="302">
        <v>5.2346067539726668</v>
      </c>
      <c r="H727" s="302">
        <f t="shared" si="269"/>
        <v>7.5367523180275402</v>
      </c>
      <c r="I727" s="303"/>
      <c r="J727" s="302">
        <v>3.1450775155762969</v>
      </c>
      <c r="K727" s="302">
        <v>4.2343854009815622</v>
      </c>
      <c r="L727" s="302">
        <f t="shared" si="270"/>
        <v>7.3794629165578591</v>
      </c>
      <c r="M727" s="236"/>
      <c r="N727" s="236"/>
    </row>
    <row r="728" spans="1:14" x14ac:dyDescent="0.3">
      <c r="A728" s="237" t="str">
        <f>name!E$9</f>
        <v>Caring, leisure and other service occupations</v>
      </c>
      <c r="B728" s="302">
        <v>5.4775460127221862</v>
      </c>
      <c r="C728" s="302">
        <v>2.5039095143868866</v>
      </c>
      <c r="D728" s="302">
        <f t="shared" si="268"/>
        <v>7.9814555271090732</v>
      </c>
      <c r="E728" s="303"/>
      <c r="F728" s="302">
        <v>5.6060689180653025</v>
      </c>
      <c r="G728" s="302">
        <v>2.9842722823448087</v>
      </c>
      <c r="H728" s="302">
        <f t="shared" si="269"/>
        <v>8.5903412004101121</v>
      </c>
      <c r="I728" s="303"/>
      <c r="J728" s="302">
        <v>5.491063340280629</v>
      </c>
      <c r="K728" s="302">
        <v>3.1575721015050777</v>
      </c>
      <c r="L728" s="302">
        <f t="shared" si="270"/>
        <v>8.6486354417857072</v>
      </c>
      <c r="M728" s="236"/>
      <c r="N728" s="236"/>
    </row>
    <row r="729" spans="1:14" x14ac:dyDescent="0.3">
      <c r="A729" s="237" t="str">
        <f>name!E$10</f>
        <v>Sales and customer service occupations</v>
      </c>
      <c r="B729" s="302">
        <v>4.2005604032921537</v>
      </c>
      <c r="C729" s="302">
        <v>2.6319723316680861</v>
      </c>
      <c r="D729" s="302">
        <f t="shared" si="268"/>
        <v>6.8325327349602398</v>
      </c>
      <c r="E729" s="303"/>
      <c r="F729" s="302">
        <v>4.3824878133638938</v>
      </c>
      <c r="G729" s="302">
        <v>3.2837591285723473</v>
      </c>
      <c r="H729" s="302">
        <f t="shared" si="269"/>
        <v>7.6662469419362411</v>
      </c>
      <c r="I729" s="303"/>
      <c r="J729" s="302">
        <v>4.3290058872930715</v>
      </c>
      <c r="K729" s="302">
        <v>4.0360798004101346</v>
      </c>
      <c r="L729" s="302">
        <f t="shared" si="270"/>
        <v>8.3650856877032069</v>
      </c>
      <c r="M729" s="236"/>
      <c r="N729" s="236"/>
    </row>
    <row r="730" spans="1:14" x14ac:dyDescent="0.3">
      <c r="A730" s="237" t="str">
        <f>name!E$11</f>
        <v>Process, plant and machine operatives</v>
      </c>
      <c r="B730" s="302">
        <v>0.30783484606250039</v>
      </c>
      <c r="C730" s="302">
        <v>1.0496847117239692</v>
      </c>
      <c r="D730" s="302">
        <f t="shared" si="268"/>
        <v>1.3575195577864696</v>
      </c>
      <c r="E730" s="303"/>
      <c r="F730" s="302">
        <v>0.26973090150252849</v>
      </c>
      <c r="G730" s="302">
        <v>1.3513200707128794</v>
      </c>
      <c r="H730" s="302">
        <f t="shared" si="269"/>
        <v>1.6210509722154078</v>
      </c>
      <c r="I730" s="303"/>
      <c r="J730" s="302">
        <v>0.27888497411318042</v>
      </c>
      <c r="K730" s="302">
        <v>1.580745184923791</v>
      </c>
      <c r="L730" s="302">
        <f t="shared" si="270"/>
        <v>1.8596301590369715</v>
      </c>
      <c r="M730" s="236"/>
      <c r="N730" s="236"/>
    </row>
    <row r="731" spans="1:14" x14ac:dyDescent="0.3">
      <c r="A731" s="237" t="str">
        <f>name!E$12</f>
        <v>Elementary occupations</v>
      </c>
      <c r="B731" s="302">
        <v>7.8198302318401556</v>
      </c>
      <c r="C731" s="302">
        <v>8.2057512598158233</v>
      </c>
      <c r="D731" s="302">
        <f t="shared" si="268"/>
        <v>16.025581491655977</v>
      </c>
      <c r="E731" s="303"/>
      <c r="F731" s="302">
        <v>6.9337850944756232</v>
      </c>
      <c r="G731" s="302">
        <v>9.3223570818819415</v>
      </c>
      <c r="H731" s="302">
        <f t="shared" si="269"/>
        <v>16.256142176357564</v>
      </c>
      <c r="I731" s="303"/>
      <c r="J731" s="302">
        <v>5.9337378444645559</v>
      </c>
      <c r="K731" s="302">
        <v>10.078090414422233</v>
      </c>
      <c r="L731" s="302">
        <f t="shared" si="270"/>
        <v>16.011828258886787</v>
      </c>
      <c r="M731" s="236"/>
      <c r="N731" s="236"/>
    </row>
    <row r="732" spans="1:14" x14ac:dyDescent="0.3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3">
      <c r="A733" s="244" t="s">
        <v>32</v>
      </c>
      <c r="B733" s="311">
        <f>SUM(B723:B731)</f>
        <v>70.608999999900774</v>
      </c>
      <c r="C733" s="311">
        <f t="shared" ref="C733:D733" si="271">SUM(C723:C731)</f>
        <v>66.878000000476362</v>
      </c>
      <c r="D733" s="311">
        <f t="shared" si="271"/>
        <v>137.48700000037715</v>
      </c>
      <c r="E733" s="311"/>
      <c r="F733" s="311">
        <f t="shared" ref="F733:H733" si="272">SUM(F723:F731)</f>
        <v>79.935999999801737</v>
      </c>
      <c r="G733" s="311">
        <f t="shared" si="272"/>
        <v>75.047000000881908</v>
      </c>
      <c r="H733" s="311">
        <f t="shared" si="272"/>
        <v>154.98300000068366</v>
      </c>
      <c r="I733" s="311"/>
      <c r="J733" s="311">
        <f t="shared" ref="J733:L733" si="273">SUM(J723:J731)</f>
        <v>82.73900000011615</v>
      </c>
      <c r="K733" s="311">
        <f t="shared" si="273"/>
        <v>78.293000001541117</v>
      </c>
      <c r="L733" s="311">
        <f t="shared" si="273"/>
        <v>161.03200000165728</v>
      </c>
      <c r="M733" s="236"/>
      <c r="N733" s="236"/>
    </row>
    <row r="734" spans="1:14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3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3">
      <c r="A737" s="241" t="str">
        <f>name!A46</f>
        <v>Broadcasting</v>
      </c>
      <c r="B737" s="373">
        <f>B$6</f>
        <v>2015</v>
      </c>
      <c r="C737" s="373"/>
      <c r="D737" s="373"/>
      <c r="E737" s="253"/>
      <c r="F737" s="373">
        <f>F720</f>
        <v>2020</v>
      </c>
      <c r="G737" s="373"/>
      <c r="H737" s="373"/>
      <c r="I737" s="253"/>
      <c r="J737" s="373">
        <f>J720</f>
        <v>2035</v>
      </c>
      <c r="K737" s="373"/>
      <c r="L737" s="373"/>
      <c r="M737" s="236"/>
      <c r="N737" s="236"/>
    </row>
    <row r="738" spans="1:14" x14ac:dyDescent="0.3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3">
      <c r="A740" s="237" t="str">
        <f>name!E$4</f>
        <v>Managers, directors and senior officials</v>
      </c>
      <c r="B740" s="302">
        <v>1.2533770709030028</v>
      </c>
      <c r="C740" s="302">
        <v>4.0061047900824196</v>
      </c>
      <c r="D740" s="302">
        <f>SUM(B740:C740)</f>
        <v>5.2594818609854226</v>
      </c>
      <c r="E740" s="303"/>
      <c r="F740" s="302">
        <v>1.7041593319417327</v>
      </c>
      <c r="G740" s="302">
        <v>4.2301887048232132</v>
      </c>
      <c r="H740" s="302">
        <f>SUM(F740:G740)</f>
        <v>5.9343480367649457</v>
      </c>
      <c r="I740" s="303"/>
      <c r="J740" s="302">
        <v>1.8158789563030227</v>
      </c>
      <c r="K740" s="302">
        <v>4.5149361490760418</v>
      </c>
      <c r="L740" s="302">
        <f>SUM(J740:K740)</f>
        <v>6.3308151053790649</v>
      </c>
      <c r="M740" s="236"/>
      <c r="N740" s="236"/>
    </row>
    <row r="741" spans="1:14" x14ac:dyDescent="0.3">
      <c r="A741" s="237" t="str">
        <f>name!E$5</f>
        <v>Professional occupations</v>
      </c>
      <c r="B741" s="302">
        <v>2.8306480139804813</v>
      </c>
      <c r="C741" s="302">
        <v>6.4896934612023163</v>
      </c>
      <c r="D741" s="302">
        <f t="shared" ref="D741:D748" si="274">SUM(B741:C741)</f>
        <v>9.3203414751827971</v>
      </c>
      <c r="E741" s="303"/>
      <c r="F741" s="302">
        <v>3.9213790883507134</v>
      </c>
      <c r="G741" s="302">
        <v>7.6182984473904529</v>
      </c>
      <c r="H741" s="302">
        <f t="shared" ref="H741:H748" si="275">SUM(F741:G741)</f>
        <v>11.539677535741166</v>
      </c>
      <c r="I741" s="303"/>
      <c r="J741" s="302">
        <v>4.3506551240478375</v>
      </c>
      <c r="K741" s="302">
        <v>8.6381121743679863</v>
      </c>
      <c r="L741" s="302">
        <f t="shared" ref="L741:L748" si="276">SUM(J741:K741)</f>
        <v>12.988767298415823</v>
      </c>
      <c r="M741" s="236"/>
      <c r="N741" s="236"/>
    </row>
    <row r="742" spans="1:14" x14ac:dyDescent="0.3">
      <c r="A742" s="237" t="str">
        <f>name!E$6</f>
        <v>Associate professional occupations</v>
      </c>
      <c r="B742" s="302">
        <v>3.4662057256409158</v>
      </c>
      <c r="C742" s="302">
        <v>9.5293132144504806</v>
      </c>
      <c r="D742" s="302">
        <f t="shared" si="274"/>
        <v>12.995518940091397</v>
      </c>
      <c r="E742" s="303"/>
      <c r="F742" s="302">
        <v>6.185944493574687</v>
      </c>
      <c r="G742" s="302">
        <v>9.5541401325465714</v>
      </c>
      <c r="H742" s="302">
        <f t="shared" si="275"/>
        <v>15.740084626121259</v>
      </c>
      <c r="I742" s="303"/>
      <c r="J742" s="302">
        <v>6.0963010519917269</v>
      </c>
      <c r="K742" s="302">
        <v>9.2525999787698225</v>
      </c>
      <c r="L742" s="302">
        <f t="shared" si="276"/>
        <v>15.348901030761549</v>
      </c>
      <c r="M742" s="236"/>
      <c r="N742" s="236"/>
    </row>
    <row r="743" spans="1:14" x14ac:dyDescent="0.3">
      <c r="A743" s="237" t="str">
        <f>name!E$7</f>
        <v>Administrative and secretarial occupations</v>
      </c>
      <c r="B743" s="302">
        <v>1.6938349900842466</v>
      </c>
      <c r="C743" s="302">
        <v>0.98979369074952739</v>
      </c>
      <c r="D743" s="302">
        <f t="shared" si="274"/>
        <v>2.6836286808337739</v>
      </c>
      <c r="E743" s="303"/>
      <c r="F743" s="302">
        <v>1.6530060649350482</v>
      </c>
      <c r="G743" s="302">
        <v>1.2694856988986509</v>
      </c>
      <c r="H743" s="302">
        <f t="shared" si="275"/>
        <v>2.9224917638336994</v>
      </c>
      <c r="I743" s="303"/>
      <c r="J743" s="302">
        <v>1.29244707510958</v>
      </c>
      <c r="K743" s="302">
        <v>1.1912505677826475</v>
      </c>
      <c r="L743" s="302">
        <f t="shared" si="276"/>
        <v>2.4836976428922277</v>
      </c>
      <c r="M743" s="236"/>
      <c r="N743" s="236"/>
    </row>
    <row r="744" spans="1:14" x14ac:dyDescent="0.3">
      <c r="A744" s="237" t="str">
        <f>name!E$8</f>
        <v>Skilled trades occupations</v>
      </c>
      <c r="B744" s="302">
        <v>0.35651342018948345</v>
      </c>
      <c r="C744" s="302">
        <v>3.2922953097366716</v>
      </c>
      <c r="D744" s="302">
        <f t="shared" si="274"/>
        <v>3.6488087299261549</v>
      </c>
      <c r="E744" s="303"/>
      <c r="F744" s="302">
        <v>0.8387722839852102</v>
      </c>
      <c r="G744" s="302">
        <v>2.7758499988300835</v>
      </c>
      <c r="H744" s="302">
        <f t="shared" si="275"/>
        <v>3.6146222828152936</v>
      </c>
      <c r="I744" s="303"/>
      <c r="J744" s="302">
        <v>0.94658164923204835</v>
      </c>
      <c r="K744" s="302">
        <v>2.4622500208687472</v>
      </c>
      <c r="L744" s="302">
        <f t="shared" si="276"/>
        <v>3.4088316701007955</v>
      </c>
      <c r="M744" s="236"/>
      <c r="N744" s="236"/>
    </row>
    <row r="745" spans="1:14" x14ac:dyDescent="0.3">
      <c r="A745" s="237" t="str">
        <f>name!E$9</f>
        <v>Caring, leisure and other service occupations</v>
      </c>
      <c r="B745" s="302">
        <v>0.54459232666837754</v>
      </c>
      <c r="C745" s="302">
        <v>1.0507624023079005</v>
      </c>
      <c r="D745" s="302">
        <f t="shared" si="274"/>
        <v>1.5953547289762779</v>
      </c>
      <c r="E745" s="303"/>
      <c r="F745" s="302">
        <v>0.6581385132515416</v>
      </c>
      <c r="G745" s="302">
        <v>1.1370269610231829</v>
      </c>
      <c r="H745" s="302">
        <f t="shared" si="275"/>
        <v>1.7951654742747245</v>
      </c>
      <c r="I745" s="303"/>
      <c r="J745" s="302">
        <v>0.6373106552504364</v>
      </c>
      <c r="K745" s="302">
        <v>1.3996869838538728</v>
      </c>
      <c r="L745" s="302">
        <f t="shared" si="276"/>
        <v>2.0369976391043094</v>
      </c>
      <c r="M745" s="236"/>
      <c r="N745" s="236"/>
    </row>
    <row r="746" spans="1:14" x14ac:dyDescent="0.3">
      <c r="A746" s="237" t="str">
        <f>name!E$10</f>
        <v>Sales and customer service occupations</v>
      </c>
      <c r="B746" s="302">
        <v>0.7658816661424328</v>
      </c>
      <c r="C746" s="302">
        <v>1.1702493892359305</v>
      </c>
      <c r="D746" s="302">
        <f t="shared" si="274"/>
        <v>1.9361310553783633</v>
      </c>
      <c r="E746" s="303"/>
      <c r="F746" s="302">
        <v>0.71049191990752869</v>
      </c>
      <c r="G746" s="302">
        <v>1.2683582777711084</v>
      </c>
      <c r="H746" s="302">
        <f t="shared" si="275"/>
        <v>1.978850197678637</v>
      </c>
      <c r="I746" s="303"/>
      <c r="J746" s="302">
        <v>0.6494468076253388</v>
      </c>
      <c r="K746" s="302">
        <v>1.6154103137236508</v>
      </c>
      <c r="L746" s="302">
        <f t="shared" si="276"/>
        <v>2.2648571213489896</v>
      </c>
      <c r="M746" s="236"/>
      <c r="N746" s="236"/>
    </row>
    <row r="747" spans="1:14" x14ac:dyDescent="0.3">
      <c r="A747" s="237" t="str">
        <f>name!E$11</f>
        <v>Process, plant and machine operatives</v>
      </c>
      <c r="B747" s="302">
        <v>2.4458498435267272E-2</v>
      </c>
      <c r="C747" s="302">
        <v>0.23183850260232655</v>
      </c>
      <c r="D747" s="302">
        <f t="shared" si="274"/>
        <v>0.25629700103759384</v>
      </c>
      <c r="E747" s="303"/>
      <c r="F747" s="302">
        <v>3.7498675933804071E-2</v>
      </c>
      <c r="G747" s="302">
        <v>0.24108073983381392</v>
      </c>
      <c r="H747" s="302">
        <f t="shared" si="275"/>
        <v>0.27857941576761802</v>
      </c>
      <c r="I747" s="303"/>
      <c r="J747" s="302">
        <v>4.05092581660524E-2</v>
      </c>
      <c r="K747" s="302">
        <v>0.24679136956691278</v>
      </c>
      <c r="L747" s="302">
        <f t="shared" si="276"/>
        <v>0.28730062773296516</v>
      </c>
      <c r="M747" s="236"/>
      <c r="N747" s="236"/>
    </row>
    <row r="748" spans="1:14" x14ac:dyDescent="0.3">
      <c r="A748" s="237" t="str">
        <f>name!E$12</f>
        <v>Elementary occupations</v>
      </c>
      <c r="B748" s="302">
        <v>0.32348828788386752</v>
      </c>
      <c r="C748" s="302">
        <v>0.88094923965687599</v>
      </c>
      <c r="D748" s="302">
        <f t="shared" si="274"/>
        <v>1.2044375275407435</v>
      </c>
      <c r="E748" s="303"/>
      <c r="F748" s="302">
        <v>0.39960962800595934</v>
      </c>
      <c r="G748" s="302">
        <v>0.93257103918856921</v>
      </c>
      <c r="H748" s="302">
        <f t="shared" si="275"/>
        <v>1.3321806671945287</v>
      </c>
      <c r="I748" s="303"/>
      <c r="J748" s="302">
        <v>0.28686942234406776</v>
      </c>
      <c r="K748" s="302">
        <v>0.78196244258117031</v>
      </c>
      <c r="L748" s="302">
        <f t="shared" si="276"/>
        <v>1.068831864925238</v>
      </c>
      <c r="M748" s="236"/>
      <c r="N748" s="236"/>
    </row>
    <row r="749" spans="1:14" x14ac:dyDescent="0.3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3">
      <c r="A750" s="244" t="s">
        <v>32</v>
      </c>
      <c r="B750" s="311">
        <f>SUM(B740:B748)</f>
        <v>11.258999999928074</v>
      </c>
      <c r="C750" s="311">
        <f t="shared" ref="C750:D750" si="277">SUM(C740:C748)</f>
        <v>27.641000000024444</v>
      </c>
      <c r="D750" s="311">
        <f t="shared" si="277"/>
        <v>38.89999999995252</v>
      </c>
      <c r="E750" s="311"/>
      <c r="F750" s="311">
        <f t="shared" ref="F750:H750" si="278">SUM(F740:F748)</f>
        <v>16.108999999886226</v>
      </c>
      <c r="G750" s="311">
        <f t="shared" si="278"/>
        <v>29.027000000305645</v>
      </c>
      <c r="H750" s="311">
        <f t="shared" si="278"/>
        <v>45.136000000191871</v>
      </c>
      <c r="I750" s="311"/>
      <c r="J750" s="311">
        <f t="shared" ref="J750:L750" si="279">SUM(J740:J748)</f>
        <v>16.116000000070109</v>
      </c>
      <c r="K750" s="311">
        <f t="shared" si="279"/>
        <v>30.103000000590853</v>
      </c>
      <c r="L750" s="311">
        <f t="shared" si="279"/>
        <v>46.219000000660955</v>
      </c>
      <c r="M750" s="236"/>
      <c r="N750" s="236"/>
    </row>
    <row r="751" spans="1:14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3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3">
      <c r="A754" s="241" t="str">
        <f>name!A47</f>
        <v>Telecommunications</v>
      </c>
      <c r="B754" s="373">
        <f>B$6</f>
        <v>2015</v>
      </c>
      <c r="C754" s="373"/>
      <c r="D754" s="373"/>
      <c r="E754" s="253"/>
      <c r="F754" s="373">
        <f>F737</f>
        <v>2020</v>
      </c>
      <c r="G754" s="373"/>
      <c r="H754" s="373"/>
      <c r="I754" s="253"/>
      <c r="J754" s="373">
        <f>J737</f>
        <v>2035</v>
      </c>
      <c r="K754" s="373"/>
      <c r="L754" s="373"/>
      <c r="M754" s="236"/>
      <c r="N754" s="236"/>
    </row>
    <row r="755" spans="1:14" x14ac:dyDescent="0.3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3">
      <c r="A757" s="237" t="str">
        <f>name!E$4</f>
        <v>Managers, directors and senior officials</v>
      </c>
      <c r="B757" s="302">
        <v>6.0187266917775304</v>
      </c>
      <c r="C757" s="302">
        <v>30.457259549990145</v>
      </c>
      <c r="D757" s="302">
        <f>SUM(B757:C757)</f>
        <v>36.475986241767671</v>
      </c>
      <c r="E757" s="303"/>
      <c r="F757" s="302">
        <v>5.9184463089862236</v>
      </c>
      <c r="G757" s="302">
        <v>29.223258984630657</v>
      </c>
      <c r="H757" s="302">
        <f>SUM(F757:G757)</f>
        <v>35.14170529361688</v>
      </c>
      <c r="I757" s="303"/>
      <c r="J757" s="302">
        <v>7.6662726985451899</v>
      </c>
      <c r="K757" s="302">
        <v>31.673126125574008</v>
      </c>
      <c r="L757" s="302">
        <f>SUM(J757:K757)</f>
        <v>39.339398824119201</v>
      </c>
      <c r="M757" s="236"/>
      <c r="N757" s="236"/>
    </row>
    <row r="758" spans="1:14" x14ac:dyDescent="0.3">
      <c r="A758" s="237" t="str">
        <f>name!E$5</f>
        <v>Professional occupations</v>
      </c>
      <c r="B758" s="302">
        <v>6.1638297400998905</v>
      </c>
      <c r="C758" s="302">
        <v>52.091684599576659</v>
      </c>
      <c r="D758" s="302">
        <f t="shared" ref="D758:D765" si="280">SUM(B758:C758)</f>
        <v>58.255514339676552</v>
      </c>
      <c r="E758" s="303"/>
      <c r="F758" s="302">
        <v>6.9316108181577043</v>
      </c>
      <c r="G758" s="302">
        <v>53.711810901739931</v>
      </c>
      <c r="H758" s="302">
        <f t="shared" ref="H758:H765" si="281">SUM(F758:G758)</f>
        <v>60.643421719897631</v>
      </c>
      <c r="I758" s="303"/>
      <c r="J758" s="302">
        <v>9.312524601850436</v>
      </c>
      <c r="K758" s="302">
        <v>65.723174429266308</v>
      </c>
      <c r="L758" s="302">
        <f t="shared" ref="L758:L765" si="282">SUM(J758:K758)</f>
        <v>75.035699031116749</v>
      </c>
      <c r="M758" s="236"/>
      <c r="N758" s="236"/>
    </row>
    <row r="759" spans="1:14" x14ac:dyDescent="0.3">
      <c r="A759" s="237" t="str">
        <f>name!E$6</f>
        <v>Associate professional occupations</v>
      </c>
      <c r="B759" s="302">
        <v>6.5146202374739293</v>
      </c>
      <c r="C759" s="302">
        <v>20.529231209629099</v>
      </c>
      <c r="D759" s="302">
        <f t="shared" si="280"/>
        <v>27.04385144710303</v>
      </c>
      <c r="E759" s="303"/>
      <c r="F759" s="302">
        <v>6.2553145813627848</v>
      </c>
      <c r="G759" s="302">
        <v>20.067482768466455</v>
      </c>
      <c r="H759" s="302">
        <f t="shared" si="281"/>
        <v>26.322797349829241</v>
      </c>
      <c r="I759" s="303"/>
      <c r="J759" s="302">
        <v>7.310338093249384</v>
      </c>
      <c r="K759" s="302">
        <v>21.319544778615651</v>
      </c>
      <c r="L759" s="302">
        <f t="shared" si="282"/>
        <v>28.629882871865036</v>
      </c>
      <c r="M759" s="236"/>
      <c r="N759" s="236"/>
    </row>
    <row r="760" spans="1:14" x14ac:dyDescent="0.3">
      <c r="A760" s="237" t="str">
        <f>name!E$7</f>
        <v>Administrative and secretarial occupations</v>
      </c>
      <c r="B760" s="302">
        <v>6.3868606807193302</v>
      </c>
      <c r="C760" s="302">
        <v>6.6411875627337187</v>
      </c>
      <c r="D760" s="302">
        <f t="shared" si="280"/>
        <v>13.02804824345305</v>
      </c>
      <c r="E760" s="303"/>
      <c r="F760" s="302">
        <v>4.611691238573461</v>
      </c>
      <c r="G760" s="302">
        <v>6.6321034430784707</v>
      </c>
      <c r="H760" s="302">
        <f t="shared" si="281"/>
        <v>11.243794681651931</v>
      </c>
      <c r="I760" s="303"/>
      <c r="J760" s="302">
        <v>4.1580765862020437</v>
      </c>
      <c r="K760" s="302">
        <v>7.533668438291115</v>
      </c>
      <c r="L760" s="302">
        <f t="shared" si="282"/>
        <v>11.691745024493159</v>
      </c>
      <c r="M760" s="236"/>
      <c r="N760" s="236"/>
    </row>
    <row r="761" spans="1:14" x14ac:dyDescent="0.3">
      <c r="A761" s="237" t="str">
        <f>name!E$8</f>
        <v>Skilled trades occupations</v>
      </c>
      <c r="B761" s="302">
        <v>0.78725232547781698</v>
      </c>
      <c r="C761" s="302">
        <v>25.557360490809646</v>
      </c>
      <c r="D761" s="302">
        <f t="shared" si="280"/>
        <v>26.344612816287462</v>
      </c>
      <c r="E761" s="303"/>
      <c r="F761" s="302">
        <v>0.7363003526160008</v>
      </c>
      <c r="G761" s="302">
        <v>17.781861118517682</v>
      </c>
      <c r="H761" s="302">
        <f t="shared" si="281"/>
        <v>18.518161471133684</v>
      </c>
      <c r="I761" s="303"/>
      <c r="J761" s="302">
        <v>1.2535100552328542</v>
      </c>
      <c r="K761" s="302">
        <v>13.459987227638431</v>
      </c>
      <c r="L761" s="302">
        <f t="shared" si="282"/>
        <v>14.713497282871284</v>
      </c>
      <c r="M761" s="236"/>
      <c r="N761" s="236"/>
    </row>
    <row r="762" spans="1:14" x14ac:dyDescent="0.3">
      <c r="A762" s="237" t="str">
        <f>name!E$9</f>
        <v>Caring, leisure and other service occupations</v>
      </c>
      <c r="B762" s="302">
        <v>0.87573803830337071</v>
      </c>
      <c r="C762" s="302">
        <v>4.6759396295530955</v>
      </c>
      <c r="D762" s="302">
        <f t="shared" si="280"/>
        <v>5.5516776678564659</v>
      </c>
      <c r="E762" s="303"/>
      <c r="F762" s="302">
        <v>0.3216252602715346</v>
      </c>
      <c r="G762" s="302">
        <v>4.0733702884903584</v>
      </c>
      <c r="H762" s="302">
        <f t="shared" si="281"/>
        <v>4.3949955487618926</v>
      </c>
      <c r="I762" s="303"/>
      <c r="J762" s="302">
        <v>0.32774084494397737</v>
      </c>
      <c r="K762" s="302">
        <v>6.0991847802843484</v>
      </c>
      <c r="L762" s="302">
        <f t="shared" si="282"/>
        <v>6.4269256252283258</v>
      </c>
      <c r="M762" s="236"/>
      <c r="N762" s="236"/>
    </row>
    <row r="763" spans="1:14" x14ac:dyDescent="0.3">
      <c r="A763" s="237" t="str">
        <f>name!E$10</f>
        <v>Sales and customer service occupations</v>
      </c>
      <c r="B763" s="302">
        <v>11.492925589126628</v>
      </c>
      <c r="C763" s="302">
        <v>11.98382532736445</v>
      </c>
      <c r="D763" s="302">
        <f t="shared" si="280"/>
        <v>23.476750916491078</v>
      </c>
      <c r="E763" s="303"/>
      <c r="F763" s="302">
        <v>8.0160591650394153</v>
      </c>
      <c r="G763" s="302">
        <v>10.613249392848108</v>
      </c>
      <c r="H763" s="302">
        <f t="shared" si="281"/>
        <v>18.629308557887523</v>
      </c>
      <c r="I763" s="303"/>
      <c r="J763" s="302">
        <v>9.4633730324694358</v>
      </c>
      <c r="K763" s="302">
        <v>15.444575066040368</v>
      </c>
      <c r="L763" s="302">
        <f t="shared" si="282"/>
        <v>24.907948098509806</v>
      </c>
      <c r="M763" s="236"/>
      <c r="N763" s="236"/>
    </row>
    <row r="764" spans="1:14" x14ac:dyDescent="0.3">
      <c r="A764" s="237" t="str">
        <f>name!E$11</f>
        <v>Process, plant and machine operatives</v>
      </c>
      <c r="B764" s="302">
        <v>0.28998850545451049</v>
      </c>
      <c r="C764" s="302">
        <v>2.2236057222224419</v>
      </c>
      <c r="D764" s="302">
        <f t="shared" si="280"/>
        <v>2.5135942276769523</v>
      </c>
      <c r="E764" s="303"/>
      <c r="F764" s="302">
        <v>0.12694782956607958</v>
      </c>
      <c r="G764" s="302">
        <v>1.5064840866344906</v>
      </c>
      <c r="H764" s="302">
        <f t="shared" si="281"/>
        <v>1.6334319162005702</v>
      </c>
      <c r="I764" s="303"/>
      <c r="J764" s="302">
        <v>0.20618064005708361</v>
      </c>
      <c r="K764" s="302">
        <v>1.9660864009423904</v>
      </c>
      <c r="L764" s="302">
        <f t="shared" si="282"/>
        <v>2.1722670409994742</v>
      </c>
      <c r="M764" s="236"/>
      <c r="N764" s="236"/>
    </row>
    <row r="765" spans="1:14" x14ac:dyDescent="0.3">
      <c r="A765" s="237" t="str">
        <f>name!E$12</f>
        <v>Elementary occupations</v>
      </c>
      <c r="B765" s="302">
        <v>0.65305819142758004</v>
      </c>
      <c r="C765" s="302">
        <v>2.9209059064089962</v>
      </c>
      <c r="D765" s="302">
        <f t="shared" si="280"/>
        <v>3.5739640978365763</v>
      </c>
      <c r="E765" s="303"/>
      <c r="F765" s="302">
        <v>0.2570044452089435</v>
      </c>
      <c r="G765" s="302">
        <v>1.9253790145882179</v>
      </c>
      <c r="H765" s="302">
        <f t="shared" si="281"/>
        <v>2.1823834597971614</v>
      </c>
      <c r="I765" s="303"/>
      <c r="J765" s="302">
        <v>0.23898344758535933</v>
      </c>
      <c r="K765" s="302">
        <v>2.2156527527724919</v>
      </c>
      <c r="L765" s="302">
        <f t="shared" si="282"/>
        <v>2.454636200357851</v>
      </c>
      <c r="M765" s="236"/>
      <c r="N765" s="236"/>
    </row>
    <row r="766" spans="1:14" x14ac:dyDescent="0.3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3">
      <c r="A767" s="244" t="s">
        <v>32</v>
      </c>
      <c r="B767" s="311">
        <f>SUM(B757:B765)</f>
        <v>39.182999999860584</v>
      </c>
      <c r="C767" s="311">
        <f t="shared" ref="C767:D767" si="283">SUM(C757:C765)</f>
        <v>157.08099999828823</v>
      </c>
      <c r="D767" s="311">
        <f t="shared" si="283"/>
        <v>196.26399999814882</v>
      </c>
      <c r="E767" s="311"/>
      <c r="F767" s="311">
        <f t="shared" ref="F767:H767" si="284">SUM(F757:F765)</f>
        <v>33.174999999782145</v>
      </c>
      <c r="G767" s="311">
        <f t="shared" si="284"/>
        <v>145.53499999899438</v>
      </c>
      <c r="H767" s="311">
        <f t="shared" si="284"/>
        <v>178.70999999877654</v>
      </c>
      <c r="I767" s="311"/>
      <c r="J767" s="311">
        <f t="shared" ref="J767:L767" si="285">SUM(J757:J765)</f>
        <v>39.937000000135768</v>
      </c>
      <c r="K767" s="311">
        <f t="shared" si="285"/>
        <v>165.43499999942512</v>
      </c>
      <c r="L767" s="311">
        <f t="shared" si="285"/>
        <v>205.37199999956093</v>
      </c>
      <c r="M767" s="236"/>
      <c r="N767" s="236"/>
    </row>
    <row r="768" spans="1:14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3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3">
      <c r="A771" s="241" t="str">
        <f>name!A48</f>
        <v>Computing services</v>
      </c>
      <c r="B771" s="373">
        <f>B$6</f>
        <v>2015</v>
      </c>
      <c r="C771" s="373"/>
      <c r="D771" s="373"/>
      <c r="E771" s="253"/>
      <c r="F771" s="373">
        <f>F$6</f>
        <v>2020</v>
      </c>
      <c r="G771" s="373"/>
      <c r="H771" s="373"/>
      <c r="I771" s="253"/>
      <c r="J771" s="373">
        <f>J$6</f>
        <v>2035</v>
      </c>
      <c r="K771" s="373"/>
      <c r="L771" s="373"/>
      <c r="M771" s="236"/>
      <c r="N771" s="236"/>
    </row>
    <row r="772" spans="1:14" x14ac:dyDescent="0.3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3">
      <c r="A774" s="237" t="str">
        <f>name!E$4</f>
        <v>Managers, directors and senior officials</v>
      </c>
      <c r="B774" s="302">
        <v>26.809737525294782</v>
      </c>
      <c r="C774" s="302">
        <v>75.449998757767204</v>
      </c>
      <c r="D774" s="302">
        <f>SUM(B774:C774)</f>
        <v>102.25973628306198</v>
      </c>
      <c r="E774" s="303"/>
      <c r="F774" s="302">
        <v>34.684926979202267</v>
      </c>
      <c r="G774" s="302">
        <v>84.344405996829167</v>
      </c>
      <c r="H774" s="302">
        <f>SUM(F774:G774)</f>
        <v>119.02933297603144</v>
      </c>
      <c r="I774" s="303"/>
      <c r="J774" s="302">
        <v>44.581461141651673</v>
      </c>
      <c r="K774" s="302">
        <v>90.810245863872098</v>
      </c>
      <c r="L774" s="302">
        <f>SUM(J774:K774)</f>
        <v>135.39170700552376</v>
      </c>
      <c r="M774" s="236"/>
      <c r="N774" s="236"/>
    </row>
    <row r="775" spans="1:14" x14ac:dyDescent="0.3">
      <c r="A775" s="237" t="str">
        <f>name!E$5</f>
        <v>Professional occupations</v>
      </c>
      <c r="B775" s="302">
        <v>59.557071796990918</v>
      </c>
      <c r="C775" s="302">
        <v>245.46432591951699</v>
      </c>
      <c r="D775" s="302">
        <f t="shared" ref="D775:D782" si="286">SUM(B775:C775)</f>
        <v>305.02139771650792</v>
      </c>
      <c r="E775" s="303"/>
      <c r="F775" s="302">
        <v>84.464590748320731</v>
      </c>
      <c r="G775" s="302">
        <v>284.01389702090711</v>
      </c>
      <c r="H775" s="302">
        <f t="shared" ref="H775:H782" si="287">SUM(F775:G775)</f>
        <v>368.47848776922785</v>
      </c>
      <c r="I775" s="303"/>
      <c r="J775" s="302">
        <v>112.67320570919352</v>
      </c>
      <c r="K775" s="302">
        <v>336.89520153975838</v>
      </c>
      <c r="L775" s="302">
        <f t="shared" ref="L775:L782" si="288">SUM(J775:K775)</f>
        <v>449.56840724895187</v>
      </c>
      <c r="M775" s="236"/>
      <c r="N775" s="236"/>
    </row>
    <row r="776" spans="1:14" x14ac:dyDescent="0.3">
      <c r="A776" s="237" t="str">
        <f>name!E$6</f>
        <v>Associate professional occupations</v>
      </c>
      <c r="B776" s="302">
        <v>37.87620607729815</v>
      </c>
      <c r="C776" s="302">
        <v>81.967168460751395</v>
      </c>
      <c r="D776" s="302">
        <f t="shared" si="286"/>
        <v>119.84337453804955</v>
      </c>
      <c r="E776" s="303"/>
      <c r="F776" s="302">
        <v>46.428857760386151</v>
      </c>
      <c r="G776" s="302">
        <v>91.876727677823126</v>
      </c>
      <c r="H776" s="302">
        <f t="shared" si="287"/>
        <v>138.30558543820928</v>
      </c>
      <c r="I776" s="303"/>
      <c r="J776" s="302">
        <v>54.412762682421203</v>
      </c>
      <c r="K776" s="302">
        <v>98.579855288291142</v>
      </c>
      <c r="L776" s="302">
        <f t="shared" si="288"/>
        <v>152.99261797071233</v>
      </c>
      <c r="M776" s="236"/>
      <c r="N776" s="236"/>
    </row>
    <row r="777" spans="1:14" x14ac:dyDescent="0.3">
      <c r="A777" s="237" t="str">
        <f>name!E$7</f>
        <v>Administrative and secretarial occupations</v>
      </c>
      <c r="B777" s="302">
        <v>34.968406895700248</v>
      </c>
      <c r="C777" s="302">
        <v>12.856993603526666</v>
      </c>
      <c r="D777" s="302">
        <f t="shared" si="286"/>
        <v>47.825400499226916</v>
      </c>
      <c r="E777" s="303"/>
      <c r="F777" s="302">
        <v>30.862031249216706</v>
      </c>
      <c r="G777" s="302">
        <v>13.696878919613326</v>
      </c>
      <c r="H777" s="302">
        <f t="shared" si="287"/>
        <v>44.558910168830032</v>
      </c>
      <c r="I777" s="303"/>
      <c r="J777" s="302">
        <v>23.753006095824109</v>
      </c>
      <c r="K777" s="302">
        <v>13.557353281314198</v>
      </c>
      <c r="L777" s="302">
        <f t="shared" si="288"/>
        <v>37.310359377138305</v>
      </c>
      <c r="M777" s="236"/>
      <c r="N777" s="236"/>
    </row>
    <row r="778" spans="1:14" x14ac:dyDescent="0.3">
      <c r="A778" s="237" t="str">
        <f>name!E$8</f>
        <v>Skilled trades occupations</v>
      </c>
      <c r="B778" s="302">
        <v>2.3410543213845578</v>
      </c>
      <c r="C778" s="302">
        <v>30.172533506757901</v>
      </c>
      <c r="D778" s="302">
        <f t="shared" si="286"/>
        <v>32.513587828142462</v>
      </c>
      <c r="E778" s="303"/>
      <c r="F778" s="302">
        <v>2.9087620390225699</v>
      </c>
      <c r="G778" s="302">
        <v>23.47671430809773</v>
      </c>
      <c r="H778" s="302">
        <f t="shared" si="287"/>
        <v>26.385476347120299</v>
      </c>
      <c r="I778" s="303"/>
      <c r="J778" s="302">
        <v>4.3515861845835406</v>
      </c>
      <c r="K778" s="302">
        <v>24.595118329535204</v>
      </c>
      <c r="L778" s="302">
        <f t="shared" si="288"/>
        <v>28.946704514118743</v>
      </c>
      <c r="M778" s="236"/>
      <c r="N778" s="236"/>
    </row>
    <row r="779" spans="1:14" x14ac:dyDescent="0.3">
      <c r="A779" s="237" t="str">
        <f>name!E$9</f>
        <v>Caring, leisure and other service occupations</v>
      </c>
      <c r="B779" s="302">
        <v>6.2874044287331978</v>
      </c>
      <c r="C779" s="302">
        <v>5.5915707961864793</v>
      </c>
      <c r="D779" s="302">
        <f t="shared" si="286"/>
        <v>11.878975224919678</v>
      </c>
      <c r="E779" s="303"/>
      <c r="F779" s="302">
        <v>6.1920852872813628</v>
      </c>
      <c r="G779" s="302">
        <v>5.5341504431551591</v>
      </c>
      <c r="H779" s="302">
        <f t="shared" si="287"/>
        <v>11.726235730436521</v>
      </c>
      <c r="I779" s="303"/>
      <c r="J779" s="302">
        <v>7.4711424122666843</v>
      </c>
      <c r="K779" s="302">
        <v>8.7181718605704432</v>
      </c>
      <c r="L779" s="302">
        <f t="shared" si="288"/>
        <v>16.189314272837127</v>
      </c>
      <c r="M779" s="236"/>
      <c r="N779" s="236"/>
    </row>
    <row r="780" spans="1:14" x14ac:dyDescent="0.3">
      <c r="A780" s="237" t="str">
        <f>name!E$10</f>
        <v>Sales and customer service occupations</v>
      </c>
      <c r="B780" s="302">
        <v>10.382143664474221</v>
      </c>
      <c r="C780" s="302">
        <v>4.7215382728893429</v>
      </c>
      <c r="D780" s="302">
        <f t="shared" si="286"/>
        <v>15.103681937363564</v>
      </c>
      <c r="E780" s="303"/>
      <c r="F780" s="302">
        <v>9.4035132851539931</v>
      </c>
      <c r="G780" s="302">
        <v>4.8983720232071972</v>
      </c>
      <c r="H780" s="302">
        <f t="shared" si="287"/>
        <v>14.301885308361189</v>
      </c>
      <c r="I780" s="303"/>
      <c r="J780" s="302">
        <v>11.188383252927688</v>
      </c>
      <c r="K780" s="302">
        <v>7.1152356996914081</v>
      </c>
      <c r="L780" s="302">
        <f t="shared" si="288"/>
        <v>18.303618952619097</v>
      </c>
      <c r="M780" s="236"/>
      <c r="N780" s="236"/>
    </row>
    <row r="781" spans="1:14" x14ac:dyDescent="0.3">
      <c r="A781" s="237" t="str">
        <f>name!E$11</f>
        <v>Process, plant and machine operatives</v>
      </c>
      <c r="B781" s="302">
        <v>1.504829949684563</v>
      </c>
      <c r="C781" s="302">
        <v>4.463524511943783</v>
      </c>
      <c r="D781" s="302">
        <f t="shared" si="286"/>
        <v>5.9683544616283459</v>
      </c>
      <c r="E781" s="303"/>
      <c r="F781" s="302">
        <v>1.3529254382057296</v>
      </c>
      <c r="G781" s="302">
        <v>4.8472460612871364</v>
      </c>
      <c r="H781" s="302">
        <f t="shared" si="287"/>
        <v>6.2001714994928658</v>
      </c>
      <c r="I781" s="303"/>
      <c r="J781" s="302">
        <v>2.1433975967980521</v>
      </c>
      <c r="K781" s="302">
        <v>6.1198725594795249</v>
      </c>
      <c r="L781" s="302">
        <f t="shared" si="288"/>
        <v>8.2632701562775779</v>
      </c>
      <c r="M781" s="236"/>
      <c r="N781" s="236"/>
    </row>
    <row r="782" spans="1:14" x14ac:dyDescent="0.3">
      <c r="A782" s="237" t="str">
        <f>name!E$12</f>
        <v>Elementary occupations</v>
      </c>
      <c r="B782" s="302">
        <v>3.0761453384328132</v>
      </c>
      <c r="C782" s="302">
        <v>2.961346163809496</v>
      </c>
      <c r="D782" s="302">
        <f t="shared" si="286"/>
        <v>6.0374915022423092</v>
      </c>
      <c r="E782" s="303"/>
      <c r="F782" s="302">
        <v>2.2673072112923989</v>
      </c>
      <c r="G782" s="302">
        <v>2.198607547704797</v>
      </c>
      <c r="H782" s="302">
        <f t="shared" si="287"/>
        <v>4.4659147589971955</v>
      </c>
      <c r="I782" s="303"/>
      <c r="J782" s="302">
        <v>2.6380549246434568</v>
      </c>
      <c r="K782" s="302">
        <v>1.76894557650851</v>
      </c>
      <c r="L782" s="302">
        <f t="shared" si="288"/>
        <v>4.4070005011519671</v>
      </c>
      <c r="M782" s="236"/>
      <c r="N782" s="236"/>
    </row>
    <row r="783" spans="1:14" x14ac:dyDescent="0.3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3">
      <c r="A784" s="244" t="s">
        <v>32</v>
      </c>
      <c r="B784" s="311">
        <f>SUM(B774:B782)</f>
        <v>182.80299999799345</v>
      </c>
      <c r="C784" s="311">
        <f t="shared" ref="C784:D784" si="289">SUM(C774:C782)</f>
        <v>463.64899999314923</v>
      </c>
      <c r="D784" s="311">
        <f t="shared" si="289"/>
        <v>646.45199999114288</v>
      </c>
      <c r="E784" s="311"/>
      <c r="F784" s="311">
        <f t="shared" ref="F784:H784" si="290">SUM(F774:F782)</f>
        <v>218.56499999808193</v>
      </c>
      <c r="G784" s="311">
        <f t="shared" si="290"/>
        <v>514.88699999862467</v>
      </c>
      <c r="H784" s="311">
        <f t="shared" si="290"/>
        <v>733.45199999670672</v>
      </c>
      <c r="I784" s="311"/>
      <c r="J784" s="311">
        <f t="shared" ref="J784:L784" si="291">SUM(J774:J782)</f>
        <v>263.21300000030993</v>
      </c>
      <c r="K784" s="311">
        <f t="shared" si="291"/>
        <v>588.15999999902101</v>
      </c>
      <c r="L784" s="311">
        <f t="shared" si="291"/>
        <v>851.37299999933089</v>
      </c>
      <c r="M784" s="236"/>
      <c r="N784" s="236"/>
    </row>
    <row r="785" spans="1:14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3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3">
      <c r="A788" s="241" t="str">
        <f>name!A49</f>
        <v>Information services</v>
      </c>
      <c r="B788" s="373">
        <f>B$6</f>
        <v>2015</v>
      </c>
      <c r="C788" s="373"/>
      <c r="D788" s="373"/>
      <c r="E788" s="253"/>
      <c r="F788" s="373">
        <f>F$6</f>
        <v>2020</v>
      </c>
      <c r="G788" s="373"/>
      <c r="H788" s="373"/>
      <c r="I788" s="253"/>
      <c r="J788" s="373">
        <f>J$6</f>
        <v>2035</v>
      </c>
      <c r="K788" s="373"/>
      <c r="L788" s="373"/>
      <c r="M788" s="236"/>
      <c r="N788" s="236"/>
    </row>
    <row r="789" spans="1:14" x14ac:dyDescent="0.3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3">
      <c r="A791" s="237" t="str">
        <f>name!E$4</f>
        <v>Managers, directors and senior officials</v>
      </c>
      <c r="B791" s="302">
        <v>5.035817219375212</v>
      </c>
      <c r="C791" s="302">
        <v>8.4421169569545018</v>
      </c>
      <c r="D791" s="302">
        <f>SUM(B791:C791)</f>
        <v>13.477934176329715</v>
      </c>
      <c r="E791" s="303"/>
      <c r="F791" s="302">
        <v>5.6123019516043344</v>
      </c>
      <c r="G791" s="302">
        <v>7.6379508872196649</v>
      </c>
      <c r="H791" s="302">
        <f>SUM(F791:G791)</f>
        <v>13.250252838824</v>
      </c>
      <c r="I791" s="303"/>
      <c r="J791" s="302">
        <v>7.3842384488260162</v>
      </c>
      <c r="K791" s="302">
        <v>8.5724515914308146</v>
      </c>
      <c r="L791" s="302">
        <f>SUM(J791:K791)</f>
        <v>15.956690040256831</v>
      </c>
      <c r="M791" s="236"/>
      <c r="N791" s="236"/>
    </row>
    <row r="792" spans="1:14" x14ac:dyDescent="0.3">
      <c r="A792" s="237" t="str">
        <f>name!E$5</f>
        <v>Professional occupations</v>
      </c>
      <c r="B792" s="302">
        <v>9.884125645877603</v>
      </c>
      <c r="C792" s="302">
        <v>22.765690417437895</v>
      </c>
      <c r="D792" s="302">
        <f t="shared" ref="D792:D799" si="292">SUM(B792:C792)</f>
        <v>32.649816063315498</v>
      </c>
      <c r="E792" s="303"/>
      <c r="F792" s="302">
        <v>12.616702509604801</v>
      </c>
      <c r="G792" s="302">
        <v>21.85416400744823</v>
      </c>
      <c r="H792" s="302">
        <f t="shared" ref="H792:H799" si="293">SUM(F792:G792)</f>
        <v>34.470866517053032</v>
      </c>
      <c r="I792" s="303"/>
      <c r="J792" s="302">
        <v>16.909851841583755</v>
      </c>
      <c r="K792" s="302">
        <v>26.976237893003862</v>
      </c>
      <c r="L792" s="302">
        <f t="shared" ref="L792:L799" si="294">SUM(J792:K792)</f>
        <v>43.886089734587614</v>
      </c>
      <c r="M792" s="236"/>
      <c r="N792" s="236"/>
    </row>
    <row r="793" spans="1:14" x14ac:dyDescent="0.3">
      <c r="A793" s="237" t="str">
        <f>name!E$6</f>
        <v>Associate professional occupations</v>
      </c>
      <c r="B793" s="302">
        <v>7.0569758685554111</v>
      </c>
      <c r="C793" s="302">
        <v>10.041650816525266</v>
      </c>
      <c r="D793" s="302">
        <f t="shared" si="292"/>
        <v>17.098626685080678</v>
      </c>
      <c r="E793" s="303"/>
      <c r="F793" s="302">
        <v>7.89545806522605</v>
      </c>
      <c r="G793" s="302">
        <v>9.0620531048303175</v>
      </c>
      <c r="H793" s="302">
        <f t="shared" si="293"/>
        <v>16.957511170056367</v>
      </c>
      <c r="I793" s="303"/>
      <c r="J793" s="302">
        <v>9.1750249302302187</v>
      </c>
      <c r="K793" s="302">
        <v>9.6988090115312495</v>
      </c>
      <c r="L793" s="302">
        <f t="shared" si="294"/>
        <v>18.873833941761468</v>
      </c>
      <c r="M793" s="236"/>
      <c r="N793" s="236"/>
    </row>
    <row r="794" spans="1:14" x14ac:dyDescent="0.3">
      <c r="A794" s="237" t="str">
        <f>name!E$7</f>
        <v>Administrative and secretarial occupations</v>
      </c>
      <c r="B794" s="302">
        <v>6.1440959457831319</v>
      </c>
      <c r="C794" s="302">
        <v>1.8002652441090279</v>
      </c>
      <c r="D794" s="302">
        <f t="shared" si="292"/>
        <v>7.9443611898921596</v>
      </c>
      <c r="E794" s="303"/>
      <c r="F794" s="302">
        <v>5.0602757834988026</v>
      </c>
      <c r="G794" s="302">
        <v>1.7178517526735921</v>
      </c>
      <c r="H794" s="302">
        <f t="shared" si="293"/>
        <v>6.7781275361723949</v>
      </c>
      <c r="I794" s="303"/>
      <c r="J794" s="302">
        <v>4.2584776535568993</v>
      </c>
      <c r="K794" s="302">
        <v>1.7280537474557076</v>
      </c>
      <c r="L794" s="302">
        <f t="shared" si="294"/>
        <v>5.9865314010126074</v>
      </c>
      <c r="M794" s="236"/>
      <c r="N794" s="236"/>
    </row>
    <row r="795" spans="1:14" x14ac:dyDescent="0.3">
      <c r="A795" s="237" t="str">
        <f>name!E$8</f>
        <v>Skilled trades occupations</v>
      </c>
      <c r="B795" s="302">
        <v>0.44325604989902284</v>
      </c>
      <c r="C795" s="302">
        <v>3.2843211512725263</v>
      </c>
      <c r="D795" s="302">
        <f t="shared" si="292"/>
        <v>3.7275772011715493</v>
      </c>
      <c r="E795" s="303"/>
      <c r="F795" s="302">
        <v>0.48141214318145581</v>
      </c>
      <c r="G795" s="302">
        <v>2.0824839919872962</v>
      </c>
      <c r="H795" s="302">
        <f t="shared" si="293"/>
        <v>2.5638961351687519</v>
      </c>
      <c r="I795" s="303"/>
      <c r="J795" s="302">
        <v>0.70654418821061105</v>
      </c>
      <c r="K795" s="302">
        <v>2.0793771931835847</v>
      </c>
      <c r="L795" s="302">
        <f t="shared" si="294"/>
        <v>2.7859213813941959</v>
      </c>
      <c r="M795" s="236"/>
      <c r="N795" s="236"/>
    </row>
    <row r="796" spans="1:14" x14ac:dyDescent="0.3">
      <c r="A796" s="237" t="str">
        <f>name!E$9</f>
        <v>Caring, leisure and other service occupations</v>
      </c>
      <c r="B796" s="302">
        <v>2.4133257571539413</v>
      </c>
      <c r="C796" s="302">
        <v>0.91018949120681281</v>
      </c>
      <c r="D796" s="302">
        <f t="shared" si="292"/>
        <v>3.3235152483607542</v>
      </c>
      <c r="E796" s="303"/>
      <c r="F796" s="302">
        <v>1.9923842030604355</v>
      </c>
      <c r="G796" s="302">
        <v>0.86052783054411153</v>
      </c>
      <c r="H796" s="302">
        <f t="shared" si="293"/>
        <v>2.852912033604547</v>
      </c>
      <c r="I796" s="303"/>
      <c r="J796" s="302">
        <v>2.5455171766034046</v>
      </c>
      <c r="K796" s="302">
        <v>1.1923266364015859</v>
      </c>
      <c r="L796" s="302">
        <f t="shared" si="294"/>
        <v>3.7378438130049902</v>
      </c>
      <c r="M796" s="236"/>
      <c r="N796" s="236"/>
    </row>
    <row r="797" spans="1:14" x14ac:dyDescent="0.3">
      <c r="A797" s="237" t="str">
        <f>name!E$10</f>
        <v>Sales and customer service occupations</v>
      </c>
      <c r="B797" s="302">
        <v>2.2405639740851604</v>
      </c>
      <c r="C797" s="302">
        <v>1.3573265290752414</v>
      </c>
      <c r="D797" s="302">
        <f t="shared" si="292"/>
        <v>3.5978905031604018</v>
      </c>
      <c r="E797" s="303"/>
      <c r="F797" s="302">
        <v>1.9062378432982703</v>
      </c>
      <c r="G797" s="302">
        <v>1.2215637193105102</v>
      </c>
      <c r="H797" s="302">
        <f t="shared" si="293"/>
        <v>3.1278015626087807</v>
      </c>
      <c r="I797" s="303"/>
      <c r="J797" s="302">
        <v>2.4643980541057049</v>
      </c>
      <c r="K797" s="302">
        <v>1.7076401312693017</v>
      </c>
      <c r="L797" s="302">
        <f t="shared" si="294"/>
        <v>4.1720381853750066</v>
      </c>
      <c r="M797" s="236"/>
      <c r="N797" s="236"/>
    </row>
    <row r="798" spans="1:14" x14ac:dyDescent="0.3">
      <c r="A798" s="237" t="str">
        <f>name!E$11</f>
        <v>Process, plant and machine operatives</v>
      </c>
      <c r="B798" s="302">
        <v>0.42377892849713295</v>
      </c>
      <c r="C798" s="302">
        <v>1.06420647998024</v>
      </c>
      <c r="D798" s="302">
        <f t="shared" si="292"/>
        <v>1.4879854084773729</v>
      </c>
      <c r="E798" s="303"/>
      <c r="F798" s="302">
        <v>0.2629604920001597</v>
      </c>
      <c r="G798" s="302">
        <v>0.95938747867994922</v>
      </c>
      <c r="H798" s="302">
        <f t="shared" si="293"/>
        <v>1.2223479706801088</v>
      </c>
      <c r="I798" s="303"/>
      <c r="J798" s="302">
        <v>0.35736974949380151</v>
      </c>
      <c r="K798" s="302">
        <v>1.1485106141672807</v>
      </c>
      <c r="L798" s="302">
        <f t="shared" si="294"/>
        <v>1.5058803636610822</v>
      </c>
      <c r="M798" s="236"/>
      <c r="N798" s="236"/>
    </row>
    <row r="799" spans="1:14" x14ac:dyDescent="0.3">
      <c r="A799" s="237" t="str">
        <f>name!E$12</f>
        <v>Elementary occupations</v>
      </c>
      <c r="B799" s="302">
        <v>4.055060610607919</v>
      </c>
      <c r="C799" s="302">
        <v>5.8082329128979646</v>
      </c>
      <c r="D799" s="302">
        <f t="shared" si="292"/>
        <v>9.8632935235058845</v>
      </c>
      <c r="E799" s="303"/>
      <c r="F799" s="302">
        <v>3.0492670083138083</v>
      </c>
      <c r="G799" s="302">
        <v>4.6650172273671915</v>
      </c>
      <c r="H799" s="302">
        <f t="shared" si="293"/>
        <v>7.7142842356809993</v>
      </c>
      <c r="I799" s="303"/>
      <c r="J799" s="302">
        <v>3.7935779573387918</v>
      </c>
      <c r="K799" s="302">
        <v>4.4695931817113239</v>
      </c>
      <c r="L799" s="302">
        <f t="shared" si="294"/>
        <v>8.2631711390501152</v>
      </c>
      <c r="M799" s="236"/>
      <c r="N799" s="236"/>
    </row>
    <row r="800" spans="1:14" x14ac:dyDescent="0.3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3">
      <c r="A801" s="244" t="s">
        <v>32</v>
      </c>
      <c r="B801" s="311">
        <f>SUM(B791:B799)</f>
        <v>37.696999999834539</v>
      </c>
      <c r="C801" s="311">
        <f t="shared" ref="C801:D801" si="295">SUM(C791:C799)</f>
        <v>55.473999999459487</v>
      </c>
      <c r="D801" s="311">
        <f t="shared" si="295"/>
        <v>93.170999999294011</v>
      </c>
      <c r="E801" s="311"/>
      <c r="F801" s="311">
        <f t="shared" ref="F801:H801" si="296">SUM(F791:F799)</f>
        <v>38.876999999788119</v>
      </c>
      <c r="G801" s="311">
        <f t="shared" si="296"/>
        <v>50.061000000060865</v>
      </c>
      <c r="H801" s="311">
        <f t="shared" si="296"/>
        <v>88.937999999848984</v>
      </c>
      <c r="I801" s="311"/>
      <c r="J801" s="311">
        <f t="shared" ref="J801:L801" si="297">SUM(J791:J799)</f>
        <v>47.594999999949209</v>
      </c>
      <c r="K801" s="311">
        <f t="shared" si="297"/>
        <v>57.573000000154714</v>
      </c>
      <c r="L801" s="311">
        <f t="shared" si="297"/>
        <v>105.16800000010389</v>
      </c>
      <c r="M801" s="236"/>
      <c r="N801" s="236"/>
    </row>
    <row r="802" spans="1:14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3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3">
      <c r="A805" s="241" t="str">
        <f>name!A50</f>
        <v>Financial services</v>
      </c>
      <c r="B805" s="373">
        <f>B$6</f>
        <v>2015</v>
      </c>
      <c r="C805" s="373"/>
      <c r="D805" s="373"/>
      <c r="E805" s="253"/>
      <c r="F805" s="373">
        <f>F$6</f>
        <v>2020</v>
      </c>
      <c r="G805" s="373"/>
      <c r="H805" s="373"/>
      <c r="I805" s="253"/>
      <c r="J805" s="373">
        <f>J$6</f>
        <v>2035</v>
      </c>
      <c r="K805" s="373"/>
      <c r="L805" s="373"/>
      <c r="M805" s="236"/>
      <c r="N805" s="236"/>
    </row>
    <row r="806" spans="1:14" x14ac:dyDescent="0.3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3">
      <c r="A808" s="237" t="str">
        <f>name!E$4</f>
        <v>Managers, directors and senior officials</v>
      </c>
      <c r="B808" s="302">
        <v>26.336077742534645</v>
      </c>
      <c r="C808" s="302">
        <v>58.856332253942064</v>
      </c>
      <c r="D808" s="302">
        <f>SUM(B808:C808)</f>
        <v>85.192409996476712</v>
      </c>
      <c r="E808" s="303"/>
      <c r="F808" s="302">
        <v>29.831724881626876</v>
      </c>
      <c r="G808" s="302">
        <v>56.910171504692578</v>
      </c>
      <c r="H808" s="302">
        <f>SUM(F808:G808)</f>
        <v>86.741896386319453</v>
      </c>
      <c r="I808" s="303"/>
      <c r="J808" s="302">
        <v>33.749152899567214</v>
      </c>
      <c r="K808" s="302">
        <v>52.519366885856421</v>
      </c>
      <c r="L808" s="302">
        <f>SUM(J808:K808)</f>
        <v>86.268519785423635</v>
      </c>
      <c r="M808" s="236"/>
      <c r="N808" s="236"/>
    </row>
    <row r="809" spans="1:14" x14ac:dyDescent="0.3">
      <c r="A809" s="237" t="str">
        <f>name!E$5</f>
        <v>Professional occupations</v>
      </c>
      <c r="B809" s="302">
        <v>25.037518042036233</v>
      </c>
      <c r="C809" s="302">
        <v>68.940196477025879</v>
      </c>
      <c r="D809" s="302">
        <f t="shared" ref="D809:D816" si="298">SUM(B809:C809)</f>
        <v>93.977714519062118</v>
      </c>
      <c r="E809" s="303"/>
      <c r="F809" s="302">
        <v>32.388291412998981</v>
      </c>
      <c r="G809" s="302">
        <v>71.422347757593315</v>
      </c>
      <c r="H809" s="302">
        <f t="shared" ref="H809:H816" si="299">SUM(F809:G809)</f>
        <v>103.8106391705923</v>
      </c>
      <c r="I809" s="303"/>
      <c r="J809" s="302">
        <v>39.051237777134915</v>
      </c>
      <c r="K809" s="302">
        <v>81.366706379413827</v>
      </c>
      <c r="L809" s="302">
        <f t="shared" ref="L809:L816" si="300">SUM(J809:K809)</f>
        <v>120.41794415654874</v>
      </c>
      <c r="M809" s="236"/>
      <c r="N809" s="236"/>
    </row>
    <row r="810" spans="1:14" x14ac:dyDescent="0.3">
      <c r="A810" s="237" t="str">
        <f>name!E$6</f>
        <v>Associate professional occupations</v>
      </c>
      <c r="B810" s="302">
        <v>33.994045386191601</v>
      </c>
      <c r="C810" s="302">
        <v>56.339152085111557</v>
      </c>
      <c r="D810" s="302">
        <f t="shared" si="298"/>
        <v>90.333197471303151</v>
      </c>
      <c r="E810" s="303"/>
      <c r="F810" s="302">
        <v>35.725147794474104</v>
      </c>
      <c r="G810" s="302">
        <v>54.052843557678109</v>
      </c>
      <c r="H810" s="302">
        <f t="shared" si="299"/>
        <v>89.777991352152213</v>
      </c>
      <c r="I810" s="303"/>
      <c r="J810" s="302">
        <v>35.549634464569046</v>
      </c>
      <c r="K810" s="302">
        <v>48.371303242307306</v>
      </c>
      <c r="L810" s="302">
        <f t="shared" si="300"/>
        <v>83.920937706876344</v>
      </c>
      <c r="M810" s="236"/>
      <c r="N810" s="236"/>
    </row>
    <row r="811" spans="1:14" x14ac:dyDescent="0.3">
      <c r="A811" s="237" t="str">
        <f>name!E$7</f>
        <v>Administrative and secretarial occupations</v>
      </c>
      <c r="B811" s="302">
        <v>92.717866055042919</v>
      </c>
      <c r="C811" s="302">
        <v>42.575203392042219</v>
      </c>
      <c r="D811" s="302">
        <f t="shared" si="298"/>
        <v>135.29306944708514</v>
      </c>
      <c r="E811" s="303"/>
      <c r="F811" s="302">
        <v>77.522694221315618</v>
      </c>
      <c r="G811" s="302">
        <v>41.21317667565085</v>
      </c>
      <c r="H811" s="302">
        <f t="shared" si="299"/>
        <v>118.73587089696647</v>
      </c>
      <c r="I811" s="303"/>
      <c r="J811" s="302">
        <v>57.393188874578954</v>
      </c>
      <c r="K811" s="302">
        <v>37.94590464989394</v>
      </c>
      <c r="L811" s="302">
        <f t="shared" si="300"/>
        <v>95.339093524472901</v>
      </c>
      <c r="M811" s="236"/>
      <c r="N811" s="236"/>
    </row>
    <row r="812" spans="1:14" x14ac:dyDescent="0.3">
      <c r="A812" s="237" t="str">
        <f>name!E$8</f>
        <v>Skilled trades occupations</v>
      </c>
      <c r="B812" s="302">
        <v>0.61377713650927668</v>
      </c>
      <c r="C812" s="302">
        <v>5.4124325513995979</v>
      </c>
      <c r="D812" s="302">
        <f t="shared" si="298"/>
        <v>6.0262096879088745</v>
      </c>
      <c r="E812" s="303"/>
      <c r="F812" s="302">
        <v>0.55706239329185836</v>
      </c>
      <c r="G812" s="302">
        <v>3.3126742740996904</v>
      </c>
      <c r="H812" s="302">
        <f t="shared" si="299"/>
        <v>3.8697366673915488</v>
      </c>
      <c r="I812" s="303"/>
      <c r="J812" s="302">
        <v>1.1845275161489321</v>
      </c>
      <c r="K812" s="302">
        <v>2.8203076124397062</v>
      </c>
      <c r="L812" s="302">
        <f t="shared" si="300"/>
        <v>4.0048351285886383</v>
      </c>
      <c r="M812" s="236"/>
      <c r="N812" s="236"/>
    </row>
    <row r="813" spans="1:14" x14ac:dyDescent="0.3">
      <c r="A813" s="237" t="str">
        <f>name!E$9</f>
        <v>Caring, leisure and other service occupations</v>
      </c>
      <c r="B813" s="302">
        <v>0.671334897522747</v>
      </c>
      <c r="C813" s="302">
        <v>0.65766701808388128</v>
      </c>
      <c r="D813" s="302">
        <f t="shared" si="298"/>
        <v>1.3290019156066282</v>
      </c>
      <c r="E813" s="303"/>
      <c r="F813" s="302">
        <v>0.54327431538634918</v>
      </c>
      <c r="G813" s="302">
        <v>0.49767123802792601</v>
      </c>
      <c r="H813" s="302">
        <f t="shared" si="299"/>
        <v>1.0409455534142751</v>
      </c>
      <c r="I813" s="303"/>
      <c r="J813" s="302">
        <v>0.54612688987670488</v>
      </c>
      <c r="K813" s="302">
        <v>0.58474301366621706</v>
      </c>
      <c r="L813" s="302">
        <f t="shared" si="300"/>
        <v>1.1308699035429219</v>
      </c>
      <c r="M813" s="236"/>
      <c r="N813" s="236"/>
    </row>
    <row r="814" spans="1:14" x14ac:dyDescent="0.3">
      <c r="A814" s="237" t="str">
        <f>name!E$10</f>
        <v>Sales and customer service occupations</v>
      </c>
      <c r="B814" s="302">
        <v>23.469569033071654</v>
      </c>
      <c r="C814" s="302">
        <v>11.291558046673053</v>
      </c>
      <c r="D814" s="302">
        <f t="shared" si="298"/>
        <v>34.76112707974471</v>
      </c>
      <c r="E814" s="303"/>
      <c r="F814" s="302">
        <v>20.005207656220861</v>
      </c>
      <c r="G814" s="302">
        <v>8.8272817808998969</v>
      </c>
      <c r="H814" s="302">
        <f t="shared" si="299"/>
        <v>28.832489437120756</v>
      </c>
      <c r="I814" s="303"/>
      <c r="J814" s="302">
        <v>21.82598287471701</v>
      </c>
      <c r="K814" s="302">
        <v>10.508148601316607</v>
      </c>
      <c r="L814" s="302">
        <f t="shared" si="300"/>
        <v>32.334131476033619</v>
      </c>
      <c r="M814" s="236"/>
      <c r="N814" s="236"/>
    </row>
    <row r="815" spans="1:14" x14ac:dyDescent="0.3">
      <c r="A815" s="237" t="str">
        <f>name!E$11</f>
        <v>Process, plant and machine operatives</v>
      </c>
      <c r="B815" s="302">
        <v>0.36628009604416129</v>
      </c>
      <c r="C815" s="302">
        <v>1.6706854797858859</v>
      </c>
      <c r="D815" s="302">
        <f t="shared" si="298"/>
        <v>2.0369655758300471</v>
      </c>
      <c r="E815" s="303"/>
      <c r="F815" s="302">
        <v>0.24069212766032633</v>
      </c>
      <c r="G815" s="302">
        <v>1.0658862772029456</v>
      </c>
      <c r="H815" s="302">
        <f t="shared" si="299"/>
        <v>1.3065784048632718</v>
      </c>
      <c r="I815" s="303"/>
      <c r="J815" s="302">
        <v>0.29833249763256664</v>
      </c>
      <c r="K815" s="302">
        <v>1.2063970204838899</v>
      </c>
      <c r="L815" s="302">
        <f t="shared" si="300"/>
        <v>1.5047295181164566</v>
      </c>
      <c r="M815" s="236"/>
      <c r="N815" s="236"/>
    </row>
    <row r="816" spans="1:14" x14ac:dyDescent="0.3">
      <c r="A816" s="237" t="str">
        <f>name!E$12</f>
        <v>Elementary occupations</v>
      </c>
      <c r="B816" s="302">
        <v>1.6585316100473673</v>
      </c>
      <c r="C816" s="302">
        <v>2.9417726928624184</v>
      </c>
      <c r="D816" s="302">
        <f t="shared" si="298"/>
        <v>4.6003043029097856</v>
      </c>
      <c r="E816" s="303"/>
      <c r="F816" s="302">
        <v>1.0669051958598585</v>
      </c>
      <c r="G816" s="302">
        <v>1.9819469340274374</v>
      </c>
      <c r="H816" s="302">
        <f t="shared" si="299"/>
        <v>3.0488521298872957</v>
      </c>
      <c r="I816" s="303"/>
      <c r="J816" s="302">
        <v>1.0148162063378341</v>
      </c>
      <c r="K816" s="302">
        <v>1.7091225960842489</v>
      </c>
      <c r="L816" s="302">
        <f t="shared" si="300"/>
        <v>2.723938802422083</v>
      </c>
      <c r="M816" s="236"/>
      <c r="N816" s="236"/>
    </row>
    <row r="817" spans="1:14" x14ac:dyDescent="0.3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3">
      <c r="A818" s="244" t="s">
        <v>32</v>
      </c>
      <c r="B818" s="311">
        <f>SUM(B808:B816)</f>
        <v>204.86499999900059</v>
      </c>
      <c r="C818" s="311">
        <f t="shared" ref="C818:D818" si="301">SUM(C808:C816)</f>
        <v>248.68499999692656</v>
      </c>
      <c r="D818" s="311">
        <f t="shared" si="301"/>
        <v>453.54999999592712</v>
      </c>
      <c r="E818" s="311"/>
      <c r="F818" s="311">
        <f t="shared" ref="F818:H818" si="302">SUM(F808:F816)</f>
        <v>197.88099999883482</v>
      </c>
      <c r="G818" s="311">
        <f t="shared" si="302"/>
        <v>239.28399999987275</v>
      </c>
      <c r="H818" s="311">
        <f t="shared" si="302"/>
        <v>437.16499999870757</v>
      </c>
      <c r="I818" s="311"/>
      <c r="J818" s="311">
        <f t="shared" ref="J818:L818" si="303">SUM(J808:J816)</f>
        <v>190.61300000056318</v>
      </c>
      <c r="K818" s="311">
        <f t="shared" si="303"/>
        <v>237.03200000146217</v>
      </c>
      <c r="L818" s="311">
        <f t="shared" si="303"/>
        <v>427.64500000202537</v>
      </c>
      <c r="M818" s="236"/>
      <c r="N818" s="236"/>
    </row>
    <row r="819" spans="1:14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3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3">
      <c r="A822" s="241" t="str">
        <f>name!A51</f>
        <v>Insurance and pensions</v>
      </c>
      <c r="B822" s="373">
        <f>B$6</f>
        <v>2015</v>
      </c>
      <c r="C822" s="373"/>
      <c r="D822" s="373"/>
      <c r="E822" s="253"/>
      <c r="F822" s="373">
        <f>F$6</f>
        <v>2020</v>
      </c>
      <c r="G822" s="373"/>
      <c r="H822" s="373"/>
      <c r="I822" s="253"/>
      <c r="J822" s="373">
        <f>J$6</f>
        <v>2035</v>
      </c>
      <c r="K822" s="373"/>
      <c r="L822" s="373"/>
      <c r="M822" s="236"/>
      <c r="N822" s="236"/>
    </row>
    <row r="823" spans="1:14" x14ac:dyDescent="0.3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3">
      <c r="A825" s="237" t="str">
        <f>name!E$4</f>
        <v>Managers, directors and senior officials</v>
      </c>
      <c r="B825" s="302">
        <v>5.4181156580917555</v>
      </c>
      <c r="C825" s="302">
        <v>6.3409141716560882</v>
      </c>
      <c r="D825" s="302">
        <f>SUM(B825:C825)</f>
        <v>11.759029829747844</v>
      </c>
      <c r="E825" s="303"/>
      <c r="F825" s="302">
        <v>7.0188874730003716</v>
      </c>
      <c r="G825" s="302">
        <v>6.7113984671426286</v>
      </c>
      <c r="H825" s="302">
        <f>SUM(F825:G825)</f>
        <v>13.730285940143</v>
      </c>
      <c r="I825" s="303"/>
      <c r="J825" s="302">
        <v>7.6216586352134925</v>
      </c>
      <c r="K825" s="302">
        <v>5.8376839563294434</v>
      </c>
      <c r="L825" s="302">
        <f>SUM(J825:K825)</f>
        <v>13.459342591542935</v>
      </c>
      <c r="M825" s="236"/>
      <c r="N825" s="236"/>
    </row>
    <row r="826" spans="1:14" x14ac:dyDescent="0.3">
      <c r="A826" s="237" t="str">
        <f>name!E$5</f>
        <v>Professional occupations</v>
      </c>
      <c r="B826" s="302">
        <v>11.425427326403044</v>
      </c>
      <c r="C826" s="302">
        <v>10.402619543360663</v>
      </c>
      <c r="D826" s="302">
        <f t="shared" ref="D826:D833" si="304">SUM(B826:C826)</f>
        <v>21.828046869763707</v>
      </c>
      <c r="E826" s="303"/>
      <c r="F826" s="302">
        <v>16.900900651444406</v>
      </c>
      <c r="G826" s="302">
        <v>12.984849062392325</v>
      </c>
      <c r="H826" s="302">
        <f t="shared" ref="H826:H833" si="305">SUM(F826:G826)</f>
        <v>29.885749713836731</v>
      </c>
      <c r="I826" s="303"/>
      <c r="J826" s="302">
        <v>19.75921462987273</v>
      </c>
      <c r="K826" s="302">
        <v>14.491695494752172</v>
      </c>
      <c r="L826" s="302">
        <f t="shared" ref="L826:L833" si="306">SUM(J826:K826)</f>
        <v>34.250910124624902</v>
      </c>
      <c r="M826" s="236"/>
      <c r="N826" s="236"/>
    </row>
    <row r="827" spans="1:14" x14ac:dyDescent="0.3">
      <c r="A827" s="237" t="str">
        <f>name!E$6</f>
        <v>Associate professional occupations</v>
      </c>
      <c r="B827" s="302">
        <v>11.992674870324882</v>
      </c>
      <c r="C827" s="302">
        <v>11.976793413962724</v>
      </c>
      <c r="D827" s="302">
        <f t="shared" si="304"/>
        <v>23.969468284287608</v>
      </c>
      <c r="E827" s="303"/>
      <c r="F827" s="302">
        <v>14.930228668216001</v>
      </c>
      <c r="G827" s="302">
        <v>12.794843529138477</v>
      </c>
      <c r="H827" s="302">
        <f t="shared" si="305"/>
        <v>27.725072197354478</v>
      </c>
      <c r="I827" s="303"/>
      <c r="J827" s="302">
        <v>14.376517703540056</v>
      </c>
      <c r="K827" s="302">
        <v>10.282950833436837</v>
      </c>
      <c r="L827" s="302">
        <f t="shared" si="306"/>
        <v>24.659468536976895</v>
      </c>
      <c r="M827" s="236"/>
      <c r="N827" s="236"/>
    </row>
    <row r="828" spans="1:14" x14ac:dyDescent="0.3">
      <c r="A828" s="237" t="str">
        <f>name!E$7</f>
        <v>Administrative and secretarial occupations</v>
      </c>
      <c r="B828" s="302">
        <v>18.146820329112277</v>
      </c>
      <c r="C828" s="302">
        <v>9.416778497027158</v>
      </c>
      <c r="D828" s="302">
        <f t="shared" si="304"/>
        <v>27.563598826139433</v>
      </c>
      <c r="E828" s="303"/>
      <c r="F828" s="302">
        <v>17.765834170906015</v>
      </c>
      <c r="G828" s="302">
        <v>9.8303287187144868</v>
      </c>
      <c r="H828" s="302">
        <f t="shared" si="305"/>
        <v>27.596162889620501</v>
      </c>
      <c r="I828" s="303"/>
      <c r="J828" s="302">
        <v>11.694976702274397</v>
      </c>
      <c r="K828" s="302">
        <v>8.4362753447406682</v>
      </c>
      <c r="L828" s="302">
        <f t="shared" si="306"/>
        <v>20.131252047015067</v>
      </c>
      <c r="M828" s="236"/>
      <c r="N828" s="236"/>
    </row>
    <row r="829" spans="1:14" x14ac:dyDescent="0.3">
      <c r="A829" s="237" t="str">
        <f>name!E$8</f>
        <v>Skilled trades occupations</v>
      </c>
      <c r="B829" s="302">
        <v>0.49589021314311749</v>
      </c>
      <c r="C829" s="302">
        <v>2.2110477469646717</v>
      </c>
      <c r="D829" s="302">
        <f t="shared" si="304"/>
        <v>2.7069379601077892</v>
      </c>
      <c r="E829" s="303"/>
      <c r="F829" s="302">
        <v>0.58113906050689612</v>
      </c>
      <c r="G829" s="302">
        <v>1.3700388626011406</v>
      </c>
      <c r="H829" s="302">
        <f t="shared" si="305"/>
        <v>1.9511779231080366</v>
      </c>
      <c r="I829" s="303"/>
      <c r="J829" s="302">
        <v>0.79131339022880687</v>
      </c>
      <c r="K829" s="302">
        <v>1.0778117909866802</v>
      </c>
      <c r="L829" s="302">
        <f t="shared" si="306"/>
        <v>1.869125181215487</v>
      </c>
      <c r="M829" s="236"/>
      <c r="N829" s="236"/>
    </row>
    <row r="830" spans="1:14" x14ac:dyDescent="0.3">
      <c r="A830" s="237" t="str">
        <f>name!E$9</f>
        <v>Caring, leisure and other service occupations</v>
      </c>
      <c r="B830" s="302">
        <v>1.6833083374453188</v>
      </c>
      <c r="C830" s="302">
        <v>1.372510494113758</v>
      </c>
      <c r="D830" s="302">
        <f t="shared" si="304"/>
        <v>3.0558188315590771</v>
      </c>
      <c r="E830" s="303"/>
      <c r="F830" s="302">
        <v>1.8593383090056337</v>
      </c>
      <c r="G830" s="302">
        <v>1.3997805398223531</v>
      </c>
      <c r="H830" s="302">
        <f t="shared" si="305"/>
        <v>3.2591188488279865</v>
      </c>
      <c r="I830" s="303"/>
      <c r="J830" s="302">
        <v>1.8601124768833024</v>
      </c>
      <c r="K830" s="302">
        <v>1.75952435722791</v>
      </c>
      <c r="L830" s="302">
        <f t="shared" si="306"/>
        <v>3.6196368341112124</v>
      </c>
      <c r="M830" s="236"/>
      <c r="N830" s="236"/>
    </row>
    <row r="831" spans="1:14" x14ac:dyDescent="0.3">
      <c r="A831" s="237" t="str">
        <f>name!E$10</f>
        <v>Sales and customer service occupations</v>
      </c>
      <c r="B831" s="302">
        <v>8.0431341011053394</v>
      </c>
      <c r="C831" s="302">
        <v>4.8714362361100632</v>
      </c>
      <c r="D831" s="302">
        <f t="shared" si="304"/>
        <v>12.914570337215402</v>
      </c>
      <c r="E831" s="303"/>
      <c r="F831" s="302">
        <v>8.1223981385276538</v>
      </c>
      <c r="G831" s="302">
        <v>4.4432892280113014</v>
      </c>
      <c r="H831" s="302">
        <f t="shared" si="305"/>
        <v>12.565687366538956</v>
      </c>
      <c r="I831" s="303"/>
      <c r="J831" s="302">
        <v>7.8164670632732403</v>
      </c>
      <c r="K831" s="302">
        <v>5.0576283056690414</v>
      </c>
      <c r="L831" s="302">
        <f t="shared" si="306"/>
        <v>12.874095368942282</v>
      </c>
      <c r="M831" s="236"/>
      <c r="N831" s="236"/>
    </row>
    <row r="832" spans="1:14" x14ac:dyDescent="0.3">
      <c r="A832" s="237" t="str">
        <f>name!E$11</f>
        <v>Process, plant and machine operatives</v>
      </c>
      <c r="B832" s="302">
        <v>0.19981603417096833</v>
      </c>
      <c r="C832" s="302">
        <v>0.42139201742469817</v>
      </c>
      <c r="D832" s="302">
        <f t="shared" si="304"/>
        <v>0.6212080515956665</v>
      </c>
      <c r="E832" s="303"/>
      <c r="F832" s="302">
        <v>0.1644230573679667</v>
      </c>
      <c r="G832" s="302">
        <v>0.33047540375536111</v>
      </c>
      <c r="H832" s="302">
        <f t="shared" si="305"/>
        <v>0.4948984611233278</v>
      </c>
      <c r="I832" s="303"/>
      <c r="J832" s="302">
        <v>0.18758874137124407</v>
      </c>
      <c r="K832" s="302">
        <v>0.32742009202698719</v>
      </c>
      <c r="L832" s="302">
        <f t="shared" si="306"/>
        <v>0.51500883339823122</v>
      </c>
      <c r="M832" s="236"/>
      <c r="N832" s="236"/>
    </row>
    <row r="833" spans="1:14" x14ac:dyDescent="0.3">
      <c r="A833" s="237" t="str">
        <f>name!E$12</f>
        <v>Elementary occupations</v>
      </c>
      <c r="B833" s="302">
        <v>0.59281312979039724</v>
      </c>
      <c r="C833" s="302">
        <v>0.84850787894889279</v>
      </c>
      <c r="D833" s="302">
        <f t="shared" si="304"/>
        <v>1.44132100873929</v>
      </c>
      <c r="E833" s="303"/>
      <c r="F833" s="302">
        <v>0.50185047058607979</v>
      </c>
      <c r="G833" s="302">
        <v>0.65399618823491523</v>
      </c>
      <c r="H833" s="302">
        <f t="shared" si="305"/>
        <v>1.155846658820995</v>
      </c>
      <c r="I833" s="303"/>
      <c r="J833" s="302">
        <v>0.41315065762099978</v>
      </c>
      <c r="K833" s="302">
        <v>0.55100982475974303</v>
      </c>
      <c r="L833" s="302">
        <f t="shared" si="306"/>
        <v>0.96416048238074281</v>
      </c>
      <c r="M833" s="236"/>
      <c r="N833" s="236"/>
    </row>
    <row r="834" spans="1:14" x14ac:dyDescent="0.3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3">
      <c r="A835" s="244" t="s">
        <v>32</v>
      </c>
      <c r="B835" s="311">
        <f>SUM(B825:B833)</f>
        <v>57.997999999587094</v>
      </c>
      <c r="C835" s="311">
        <f t="shared" ref="C835:D835" si="307">SUM(C825:C833)</f>
        <v>47.861999999568724</v>
      </c>
      <c r="D835" s="311">
        <f t="shared" si="307"/>
        <v>105.85999999915582</v>
      </c>
      <c r="E835" s="311"/>
      <c r="F835" s="311">
        <f t="shared" ref="F835:H835" si="308">SUM(F825:F833)</f>
        <v>67.84499999956104</v>
      </c>
      <c r="G835" s="311">
        <f t="shared" si="308"/>
        <v>50.518999999812984</v>
      </c>
      <c r="H835" s="311">
        <f t="shared" si="308"/>
        <v>118.363999999374</v>
      </c>
      <c r="I835" s="311"/>
      <c r="J835" s="311">
        <f t="shared" ref="J835:L835" si="309">SUM(J825:J833)</f>
        <v>64.521000000278278</v>
      </c>
      <c r="K835" s="311">
        <f t="shared" si="309"/>
        <v>47.821999999929481</v>
      </c>
      <c r="L835" s="311">
        <f t="shared" si="309"/>
        <v>112.34300000020775</v>
      </c>
      <c r="M835" s="236"/>
      <c r="N835" s="236"/>
    </row>
    <row r="836" spans="1:14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3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3">
      <c r="A839" s="241" t="str">
        <f>name!A52</f>
        <v>Auxiliary financial services</v>
      </c>
      <c r="B839" s="373">
        <f>B$6</f>
        <v>2015</v>
      </c>
      <c r="C839" s="373"/>
      <c r="D839" s="373"/>
      <c r="E839" s="253"/>
      <c r="F839" s="373">
        <f>F$6</f>
        <v>2020</v>
      </c>
      <c r="G839" s="373"/>
      <c r="H839" s="373"/>
      <c r="I839" s="253"/>
      <c r="J839" s="373">
        <f>J$6</f>
        <v>2035</v>
      </c>
      <c r="K839" s="373"/>
      <c r="L839" s="373"/>
      <c r="M839" s="236"/>
      <c r="N839" s="236"/>
    </row>
    <row r="840" spans="1:14" x14ac:dyDescent="0.3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3">
      <c r="A842" s="237" t="str">
        <f>name!E$4</f>
        <v>Managers, directors and senior officials</v>
      </c>
      <c r="B842" s="302">
        <v>19.102419499409518</v>
      </c>
      <c r="C842" s="302">
        <v>49.050418850886579</v>
      </c>
      <c r="D842" s="302">
        <f>SUM(B842:C842)</f>
        <v>68.152838350296093</v>
      </c>
      <c r="E842" s="303"/>
      <c r="F842" s="302">
        <v>23.00438743576689</v>
      </c>
      <c r="G842" s="302">
        <v>54.186303493622049</v>
      </c>
      <c r="H842" s="302">
        <f>SUM(F842:G842)</f>
        <v>77.190690929388936</v>
      </c>
      <c r="I842" s="303"/>
      <c r="J842" s="302">
        <v>25.648197018324641</v>
      </c>
      <c r="K842" s="302">
        <v>51.494761236759359</v>
      </c>
      <c r="L842" s="302">
        <f>SUM(J842:K842)</f>
        <v>77.142958255083997</v>
      </c>
      <c r="M842" s="236"/>
      <c r="N842" s="236"/>
    </row>
    <row r="843" spans="1:14" x14ac:dyDescent="0.3">
      <c r="A843" s="237" t="str">
        <f>name!E$5</f>
        <v>Professional occupations</v>
      </c>
      <c r="B843" s="302">
        <v>31.820215015763473</v>
      </c>
      <c r="C843" s="302">
        <v>56.604422428236141</v>
      </c>
      <c r="D843" s="302">
        <f t="shared" ref="D843:D850" si="310">SUM(B843:C843)</f>
        <v>88.424637443999615</v>
      </c>
      <c r="E843" s="303"/>
      <c r="F843" s="302">
        <v>43.542054006143637</v>
      </c>
      <c r="G843" s="302">
        <v>69.837463957299846</v>
      </c>
      <c r="H843" s="302">
        <f t="shared" ref="H843:H850" si="311">SUM(F843:G843)</f>
        <v>113.37951796344348</v>
      </c>
      <c r="I843" s="303"/>
      <c r="J843" s="302">
        <v>52.743992329061626</v>
      </c>
      <c r="K843" s="302">
        <v>80.608076995331885</v>
      </c>
      <c r="L843" s="302">
        <f t="shared" ref="L843:L850" si="312">SUM(J843:K843)</f>
        <v>133.35206932439351</v>
      </c>
      <c r="M843" s="236"/>
      <c r="N843" s="236"/>
    </row>
    <row r="844" spans="1:14" x14ac:dyDescent="0.3">
      <c r="A844" s="237" t="str">
        <f>name!E$6</f>
        <v>Associate professional occupations</v>
      </c>
      <c r="B844" s="302">
        <v>47.104161248177135</v>
      </c>
      <c r="C844" s="302">
        <v>76.936313194235467</v>
      </c>
      <c r="D844" s="302">
        <f t="shared" si="310"/>
        <v>124.0404744424126</v>
      </c>
      <c r="E844" s="303"/>
      <c r="F844" s="302">
        <v>52.447760291093743</v>
      </c>
      <c r="G844" s="302">
        <v>83.119835660942016</v>
      </c>
      <c r="H844" s="302">
        <f t="shared" si="311"/>
        <v>135.56759595203576</v>
      </c>
      <c r="I844" s="303"/>
      <c r="J844" s="302">
        <v>53.682681990317242</v>
      </c>
      <c r="K844" s="302">
        <v>74.826861578637718</v>
      </c>
      <c r="L844" s="302">
        <f t="shared" si="312"/>
        <v>128.50954356895497</v>
      </c>
      <c r="M844" s="236"/>
      <c r="N844" s="236"/>
    </row>
    <row r="845" spans="1:14" x14ac:dyDescent="0.3">
      <c r="A845" s="237" t="str">
        <f>name!E$7</f>
        <v>Administrative and secretarial occupations</v>
      </c>
      <c r="B845" s="302">
        <v>69.717142792579835</v>
      </c>
      <c r="C845" s="302">
        <v>21.335771670401396</v>
      </c>
      <c r="D845" s="302">
        <f t="shared" si="310"/>
        <v>91.052914462981235</v>
      </c>
      <c r="E845" s="303"/>
      <c r="F845" s="302">
        <v>62.882588012521651</v>
      </c>
      <c r="G845" s="302">
        <v>21.851672454467685</v>
      </c>
      <c r="H845" s="302">
        <f t="shared" si="311"/>
        <v>84.73426046698934</v>
      </c>
      <c r="I845" s="303"/>
      <c r="J845" s="302">
        <v>41.188531278481193</v>
      </c>
      <c r="K845" s="302">
        <v>18.868544558988866</v>
      </c>
      <c r="L845" s="302">
        <f t="shared" si="312"/>
        <v>60.057075837470059</v>
      </c>
      <c r="M845" s="236"/>
      <c r="N845" s="236"/>
    </row>
    <row r="846" spans="1:14" x14ac:dyDescent="0.3">
      <c r="A846" s="237" t="str">
        <f>name!E$8</f>
        <v>Skilled trades occupations</v>
      </c>
      <c r="B846" s="302">
        <v>1.3382457407059956</v>
      </c>
      <c r="C846" s="302">
        <v>5.9341481000962988</v>
      </c>
      <c r="D846" s="302">
        <f t="shared" si="310"/>
        <v>7.2723938408022946</v>
      </c>
      <c r="E846" s="303"/>
      <c r="F846" s="302">
        <v>1.2326037304420008</v>
      </c>
      <c r="G846" s="302">
        <v>4.5376974380822572</v>
      </c>
      <c r="H846" s="302">
        <f t="shared" si="311"/>
        <v>5.7703011685242576</v>
      </c>
      <c r="I846" s="303"/>
      <c r="J846" s="302">
        <v>1.5833930769096523</v>
      </c>
      <c r="K846" s="302">
        <v>4.1548371467293368</v>
      </c>
      <c r="L846" s="302">
        <f t="shared" si="312"/>
        <v>5.7382302236389888</v>
      </c>
      <c r="M846" s="236"/>
      <c r="N846" s="236"/>
    </row>
    <row r="847" spans="1:14" x14ac:dyDescent="0.3">
      <c r="A847" s="237" t="str">
        <f>name!E$9</f>
        <v>Caring, leisure and other service occupations</v>
      </c>
      <c r="B847" s="302">
        <v>1.6598478405078136</v>
      </c>
      <c r="C847" s="302">
        <v>1.2849894745792532</v>
      </c>
      <c r="D847" s="302">
        <f t="shared" si="310"/>
        <v>2.9448373150870668</v>
      </c>
      <c r="E847" s="303"/>
      <c r="F847" s="302">
        <v>1.6570253062788649</v>
      </c>
      <c r="G847" s="302">
        <v>1.2960471721033533</v>
      </c>
      <c r="H847" s="302">
        <f t="shared" si="311"/>
        <v>2.953072478382218</v>
      </c>
      <c r="I847" s="303"/>
      <c r="J847" s="302">
        <v>2.0575495491726343</v>
      </c>
      <c r="K847" s="302">
        <v>1.7568288417526985</v>
      </c>
      <c r="L847" s="302">
        <f t="shared" si="312"/>
        <v>3.8143783909253326</v>
      </c>
      <c r="M847" s="236"/>
      <c r="N847" s="236"/>
    </row>
    <row r="848" spans="1:14" x14ac:dyDescent="0.3">
      <c r="A848" s="237" t="str">
        <f>name!E$10</f>
        <v>Sales and customer service occupations</v>
      </c>
      <c r="B848" s="302">
        <v>13.252025364035653</v>
      </c>
      <c r="C848" s="302">
        <v>8.7811072048559407</v>
      </c>
      <c r="D848" s="302">
        <f t="shared" si="310"/>
        <v>22.033132568891595</v>
      </c>
      <c r="E848" s="303"/>
      <c r="F848" s="302">
        <v>12.293615472563484</v>
      </c>
      <c r="G848" s="302">
        <v>8.5470460197905815</v>
      </c>
      <c r="H848" s="302">
        <f t="shared" si="311"/>
        <v>20.840661492354066</v>
      </c>
      <c r="I848" s="303"/>
      <c r="J848" s="302">
        <v>12.303751740221877</v>
      </c>
      <c r="K848" s="302">
        <v>10.249604782350582</v>
      </c>
      <c r="L848" s="302">
        <f t="shared" si="312"/>
        <v>22.553356522572457</v>
      </c>
      <c r="M848" s="236"/>
      <c r="N848" s="236"/>
    </row>
    <row r="849" spans="1:14" x14ac:dyDescent="0.3">
      <c r="A849" s="237" t="str">
        <f>name!E$11</f>
        <v>Process, plant and machine operatives</v>
      </c>
      <c r="B849" s="302">
        <v>0.9438726702285487</v>
      </c>
      <c r="C849" s="302">
        <v>2.9715503161094725</v>
      </c>
      <c r="D849" s="302">
        <f t="shared" si="310"/>
        <v>3.9154229863380214</v>
      </c>
      <c r="E849" s="303"/>
      <c r="F849" s="302">
        <v>0.7329789173500153</v>
      </c>
      <c r="G849" s="302">
        <v>3.1960728087153951</v>
      </c>
      <c r="H849" s="302">
        <f t="shared" si="311"/>
        <v>3.9290517260654103</v>
      </c>
      <c r="I849" s="303"/>
      <c r="J849" s="302">
        <v>1.2833170987091138</v>
      </c>
      <c r="K849" s="302">
        <v>4.2791149363559207</v>
      </c>
      <c r="L849" s="302">
        <f t="shared" si="312"/>
        <v>5.5624320350650347</v>
      </c>
      <c r="M849" s="236"/>
      <c r="N849" s="236"/>
    </row>
    <row r="850" spans="1:14" x14ac:dyDescent="0.3">
      <c r="A850" s="237" t="str">
        <f>name!E$12</f>
        <v>Elementary occupations</v>
      </c>
      <c r="B850" s="302">
        <v>3.5040698272952731</v>
      </c>
      <c r="C850" s="302">
        <v>3.5192787577098317</v>
      </c>
      <c r="D850" s="302">
        <f t="shared" si="310"/>
        <v>7.0233485850051043</v>
      </c>
      <c r="E850" s="303"/>
      <c r="F850" s="302">
        <v>2.4839868264780125</v>
      </c>
      <c r="G850" s="302">
        <v>2.7878609953492761</v>
      </c>
      <c r="H850" s="302">
        <f t="shared" si="311"/>
        <v>5.2718478218272882</v>
      </c>
      <c r="I850" s="303"/>
      <c r="J850" s="302">
        <v>2.4145859195505937</v>
      </c>
      <c r="K850" s="302">
        <v>2.6483699250989789</v>
      </c>
      <c r="L850" s="302">
        <f t="shared" si="312"/>
        <v>5.0629558446495722</v>
      </c>
      <c r="M850" s="236"/>
      <c r="N850" s="236"/>
    </row>
    <row r="851" spans="1:14" x14ac:dyDescent="0.3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3">
      <c r="A852" s="244" t="s">
        <v>32</v>
      </c>
      <c r="B852" s="311">
        <f>SUM(B842:B850)</f>
        <v>188.44199999870324</v>
      </c>
      <c r="C852" s="311">
        <f t="shared" ref="C852:D852" si="313">SUM(C842:C850)</f>
        <v>226.41799999711037</v>
      </c>
      <c r="D852" s="311">
        <f t="shared" si="313"/>
        <v>414.85999999581361</v>
      </c>
      <c r="E852" s="311"/>
      <c r="F852" s="311">
        <f t="shared" ref="F852:H852" si="314">SUM(F842:F850)</f>
        <v>200.27699999863827</v>
      </c>
      <c r="G852" s="311">
        <f t="shared" si="314"/>
        <v>249.36000000037245</v>
      </c>
      <c r="H852" s="311">
        <f t="shared" si="314"/>
        <v>449.63699999901075</v>
      </c>
      <c r="I852" s="311"/>
      <c r="J852" s="311">
        <f t="shared" ref="J852:L852" si="315">SUM(J842:J850)</f>
        <v>192.90600000074858</v>
      </c>
      <c r="K852" s="311">
        <f t="shared" si="315"/>
        <v>248.88700000200535</v>
      </c>
      <c r="L852" s="311">
        <f t="shared" si="315"/>
        <v>441.79300000275396</v>
      </c>
      <c r="M852" s="236"/>
      <c r="N852" s="236"/>
    </row>
    <row r="853" spans="1:14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3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3">
      <c r="A856" s="241" t="str">
        <f>name!A53</f>
        <v>Real estate</v>
      </c>
      <c r="B856" s="373">
        <f>B$6</f>
        <v>2015</v>
      </c>
      <c r="C856" s="373"/>
      <c r="D856" s="373"/>
      <c r="E856" s="253"/>
      <c r="F856" s="373">
        <f>F$6</f>
        <v>2020</v>
      </c>
      <c r="G856" s="373"/>
      <c r="H856" s="373"/>
      <c r="I856" s="253"/>
      <c r="J856" s="373">
        <f>J$6</f>
        <v>2035</v>
      </c>
      <c r="K856" s="373"/>
      <c r="L856" s="373"/>
      <c r="M856" s="236"/>
      <c r="N856" s="236"/>
    </row>
    <row r="857" spans="1:14" x14ac:dyDescent="0.3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3">
      <c r="A859" s="237" t="str">
        <f>name!E$4</f>
        <v>Managers, directors and senior officials</v>
      </c>
      <c r="B859" s="302">
        <v>38.340265646066534</v>
      </c>
      <c r="C859" s="302">
        <v>61.137045236528124</v>
      </c>
      <c r="D859" s="302">
        <f>SUM(B859:C859)</f>
        <v>99.477310882594651</v>
      </c>
      <c r="E859" s="303"/>
      <c r="F859" s="302">
        <v>47.930591782147083</v>
      </c>
      <c r="G859" s="302">
        <v>75.964640476208331</v>
      </c>
      <c r="H859" s="302">
        <f>SUM(F859:G859)</f>
        <v>123.89523225835541</v>
      </c>
      <c r="I859" s="303"/>
      <c r="J859" s="302">
        <v>56.22410459922186</v>
      </c>
      <c r="K859" s="302">
        <v>86.460263614039278</v>
      </c>
      <c r="L859" s="302">
        <f>SUM(J859:K859)</f>
        <v>142.68436821326114</v>
      </c>
      <c r="M859" s="236"/>
      <c r="N859" s="236"/>
    </row>
    <row r="860" spans="1:14" x14ac:dyDescent="0.3">
      <c r="A860" s="237" t="str">
        <f>name!E$5</f>
        <v>Professional occupations</v>
      </c>
      <c r="B860" s="302">
        <v>39.216412654779234</v>
      </c>
      <c r="C860" s="302">
        <v>45.655358502131605</v>
      </c>
      <c r="D860" s="302">
        <f t="shared" ref="D860:D867" si="316">SUM(B860:C860)</f>
        <v>84.871771156910839</v>
      </c>
      <c r="E860" s="303"/>
      <c r="F860" s="302">
        <v>51.340833671228715</v>
      </c>
      <c r="G860" s="302">
        <v>66.878884449238413</v>
      </c>
      <c r="H860" s="302">
        <f t="shared" ref="H860:H867" si="317">SUM(F860:G860)</f>
        <v>118.21971812046712</v>
      </c>
      <c r="I860" s="303"/>
      <c r="J860" s="302">
        <v>59.980753657433745</v>
      </c>
      <c r="K860" s="302">
        <v>74.97067759410001</v>
      </c>
      <c r="L860" s="302">
        <f t="shared" ref="L860:L867" si="318">SUM(J860:K860)</f>
        <v>134.95143125153376</v>
      </c>
      <c r="M860" s="236"/>
      <c r="N860" s="236"/>
    </row>
    <row r="861" spans="1:14" x14ac:dyDescent="0.3">
      <c r="A861" s="237" t="str">
        <f>name!E$6</f>
        <v>Associate professional occupations</v>
      </c>
      <c r="B861" s="302">
        <v>39.791989799680969</v>
      </c>
      <c r="C861" s="302">
        <v>39.196011573948823</v>
      </c>
      <c r="D861" s="302">
        <f t="shared" si="316"/>
        <v>78.9880013736298</v>
      </c>
      <c r="E861" s="303"/>
      <c r="F861" s="302">
        <v>48.388817915604086</v>
      </c>
      <c r="G861" s="302">
        <v>50.622244724752619</v>
      </c>
      <c r="H861" s="302">
        <f t="shared" si="317"/>
        <v>99.011062640356698</v>
      </c>
      <c r="I861" s="303"/>
      <c r="J861" s="302">
        <v>54.350694204584798</v>
      </c>
      <c r="K861" s="302">
        <v>45.401289047971673</v>
      </c>
      <c r="L861" s="302">
        <f t="shared" si="318"/>
        <v>99.751983252556471</v>
      </c>
      <c r="M861" s="236"/>
      <c r="N861" s="236"/>
    </row>
    <row r="862" spans="1:14" x14ac:dyDescent="0.3">
      <c r="A862" s="237" t="str">
        <f>name!E$7</f>
        <v>Administrative and secretarial occupations</v>
      </c>
      <c r="B862" s="302">
        <v>81.473423162324977</v>
      </c>
      <c r="C862" s="302">
        <v>13.816965789667993</v>
      </c>
      <c r="D862" s="302">
        <f t="shared" si="316"/>
        <v>95.290388951992966</v>
      </c>
      <c r="E862" s="303"/>
      <c r="F862" s="302">
        <v>79.131002353190468</v>
      </c>
      <c r="G862" s="302">
        <v>16.379008324074221</v>
      </c>
      <c r="H862" s="302">
        <f t="shared" si="317"/>
        <v>95.510010677264688</v>
      </c>
      <c r="I862" s="303"/>
      <c r="J862" s="302">
        <v>63.559965087336558</v>
      </c>
      <c r="K862" s="302">
        <v>16.747571443632367</v>
      </c>
      <c r="L862" s="302">
        <f t="shared" si="318"/>
        <v>80.307536530968918</v>
      </c>
      <c r="M862" s="236"/>
      <c r="N862" s="236"/>
    </row>
    <row r="863" spans="1:14" x14ac:dyDescent="0.3">
      <c r="A863" s="237" t="str">
        <f>name!E$8</f>
        <v>Skilled trades occupations</v>
      </c>
      <c r="B863" s="302">
        <v>7.146664003383643</v>
      </c>
      <c r="C863" s="302">
        <v>30.236541921176027</v>
      </c>
      <c r="D863" s="302">
        <f t="shared" si="316"/>
        <v>37.383205924559668</v>
      </c>
      <c r="E863" s="303"/>
      <c r="F863" s="302">
        <v>8.8039407959364215</v>
      </c>
      <c r="G863" s="302">
        <v>23.487680559148725</v>
      </c>
      <c r="H863" s="302">
        <f t="shared" si="317"/>
        <v>32.291621355085148</v>
      </c>
      <c r="I863" s="303"/>
      <c r="J863" s="302">
        <v>15.965530826953668</v>
      </c>
      <c r="K863" s="302">
        <v>24.350845531948078</v>
      </c>
      <c r="L863" s="302">
        <f t="shared" si="318"/>
        <v>40.316376358901749</v>
      </c>
      <c r="M863" s="236"/>
      <c r="N863" s="236"/>
    </row>
    <row r="864" spans="1:14" x14ac:dyDescent="0.3">
      <c r="A864" s="237" t="str">
        <f>name!E$9</f>
        <v>Caring, leisure and other service occupations</v>
      </c>
      <c r="B864" s="302">
        <v>9.7069622528662087</v>
      </c>
      <c r="C864" s="302">
        <v>6.1982153751385622</v>
      </c>
      <c r="D864" s="302">
        <f t="shared" si="316"/>
        <v>15.905177628004772</v>
      </c>
      <c r="E864" s="303"/>
      <c r="F864" s="302">
        <v>9.6332312752173248</v>
      </c>
      <c r="G864" s="302">
        <v>6.755957937969109</v>
      </c>
      <c r="H864" s="302">
        <f t="shared" si="317"/>
        <v>16.389189213186434</v>
      </c>
      <c r="I864" s="303"/>
      <c r="J864" s="302">
        <v>11.825784580803708</v>
      </c>
      <c r="K864" s="302">
        <v>7.5833493930764133</v>
      </c>
      <c r="L864" s="302">
        <f t="shared" si="318"/>
        <v>19.40913397388012</v>
      </c>
      <c r="M864" s="236"/>
      <c r="N864" s="236"/>
    </row>
    <row r="865" spans="1:14" x14ac:dyDescent="0.3">
      <c r="A865" s="237" t="str">
        <f>name!E$10</f>
        <v>Sales and customer service occupations</v>
      </c>
      <c r="B865" s="302">
        <v>40.624543132251134</v>
      </c>
      <c r="C865" s="302">
        <v>18.931992814409821</v>
      </c>
      <c r="D865" s="302">
        <f t="shared" si="316"/>
        <v>59.556535946660958</v>
      </c>
      <c r="E865" s="303"/>
      <c r="F865" s="302">
        <v>36.595580792537376</v>
      </c>
      <c r="G865" s="302">
        <v>19.716326377123696</v>
      </c>
      <c r="H865" s="302">
        <f t="shared" si="317"/>
        <v>56.311907169661069</v>
      </c>
      <c r="I865" s="303"/>
      <c r="J865" s="302">
        <v>38.186064436047211</v>
      </c>
      <c r="K865" s="302">
        <v>19.378392665937081</v>
      </c>
      <c r="L865" s="302">
        <f t="shared" si="318"/>
        <v>57.564457101984289</v>
      </c>
      <c r="M865" s="236"/>
      <c r="N865" s="236"/>
    </row>
    <row r="866" spans="1:14" x14ac:dyDescent="0.3">
      <c r="A866" s="237" t="str">
        <f>name!E$11</f>
        <v>Process, plant and machine operatives</v>
      </c>
      <c r="B866" s="302">
        <v>0.8847092904679682</v>
      </c>
      <c r="C866" s="302">
        <v>6.0056756549436781</v>
      </c>
      <c r="D866" s="302">
        <f t="shared" si="316"/>
        <v>6.8903849454116459</v>
      </c>
      <c r="E866" s="303"/>
      <c r="F866" s="302">
        <v>0.7948569410210562</v>
      </c>
      <c r="G866" s="302">
        <v>5.7256185401184219</v>
      </c>
      <c r="H866" s="302">
        <f t="shared" si="317"/>
        <v>6.5204754811394778</v>
      </c>
      <c r="I866" s="303"/>
      <c r="J866" s="302">
        <v>1.5979655439528133</v>
      </c>
      <c r="K866" s="302">
        <v>5.2165961507859997</v>
      </c>
      <c r="L866" s="302">
        <f t="shared" si="318"/>
        <v>6.8145616947388135</v>
      </c>
      <c r="M866" s="236"/>
      <c r="N866" s="236"/>
    </row>
    <row r="867" spans="1:14" x14ac:dyDescent="0.3">
      <c r="A867" s="237" t="str">
        <f>name!E$12</f>
        <v>Elementary occupations</v>
      </c>
      <c r="B867" s="302">
        <v>12.69703005839362</v>
      </c>
      <c r="C867" s="302">
        <v>8.6491931302594853</v>
      </c>
      <c r="D867" s="302">
        <f t="shared" si="316"/>
        <v>21.346223188653106</v>
      </c>
      <c r="E867" s="303"/>
      <c r="F867" s="302">
        <v>10.371144471815484</v>
      </c>
      <c r="G867" s="302">
        <v>7.5646386109085988</v>
      </c>
      <c r="H867" s="302">
        <f t="shared" si="317"/>
        <v>17.935783082724083</v>
      </c>
      <c r="I867" s="303"/>
      <c r="J867" s="302">
        <v>9.3911370631544493</v>
      </c>
      <c r="K867" s="302">
        <v>6.6730145589378216</v>
      </c>
      <c r="L867" s="302">
        <f t="shared" si="318"/>
        <v>16.064151622092272</v>
      </c>
      <c r="M867" s="236"/>
      <c r="N867" s="236"/>
    </row>
    <row r="868" spans="1:14" x14ac:dyDescent="0.3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3">
      <c r="A869" s="244" t="s">
        <v>32</v>
      </c>
      <c r="B869" s="311">
        <f>SUM(B859:B867)</f>
        <v>269.8820000002143</v>
      </c>
      <c r="C869" s="311">
        <f t="shared" ref="C869:D869" si="319">SUM(C859:C867)</f>
        <v>229.82699999820412</v>
      </c>
      <c r="D869" s="311">
        <f t="shared" si="319"/>
        <v>499.70899999841839</v>
      </c>
      <c r="E869" s="311"/>
      <c r="F869" s="311">
        <f t="shared" ref="F869:H869" si="320">SUM(F859:F867)</f>
        <v>292.98999999869807</v>
      </c>
      <c r="G869" s="311">
        <f t="shared" si="320"/>
        <v>273.09499999954215</v>
      </c>
      <c r="H869" s="311">
        <f t="shared" si="320"/>
        <v>566.08499999824016</v>
      </c>
      <c r="I869" s="311"/>
      <c r="J869" s="311">
        <f t="shared" ref="J869:L869" si="321">SUM(J859:J867)</f>
        <v>311.0819999994888</v>
      </c>
      <c r="K869" s="311">
        <f t="shared" si="321"/>
        <v>286.78200000042875</v>
      </c>
      <c r="L869" s="311">
        <f t="shared" si="321"/>
        <v>597.8639999999175</v>
      </c>
      <c r="M869" s="236"/>
      <c r="N869" s="236"/>
    </row>
    <row r="870" spans="1:14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3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3">
      <c r="A873" s="241" t="str">
        <f>name!A54</f>
        <v>Legal and accounting</v>
      </c>
      <c r="B873" s="373">
        <f>B$6</f>
        <v>2015</v>
      </c>
      <c r="C873" s="373"/>
      <c r="D873" s="373"/>
      <c r="E873" s="253"/>
      <c r="F873" s="373">
        <f>F$6</f>
        <v>2020</v>
      </c>
      <c r="G873" s="373"/>
      <c r="H873" s="373"/>
      <c r="I873" s="253"/>
      <c r="J873" s="373">
        <f>J$6</f>
        <v>2035</v>
      </c>
      <c r="K873" s="373"/>
      <c r="L873" s="373"/>
      <c r="M873" s="236"/>
      <c r="N873" s="236"/>
    </row>
    <row r="874" spans="1:14" x14ac:dyDescent="0.3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3">
      <c r="A876" s="237" t="str">
        <f>name!E$4</f>
        <v>Managers, directors and senior officials</v>
      </c>
      <c r="B876" s="302">
        <v>36.451535966702941</v>
      </c>
      <c r="C876" s="302">
        <v>48.652250112097299</v>
      </c>
      <c r="D876" s="302">
        <f>SUM(B876:C876)</f>
        <v>85.10378607880024</v>
      </c>
      <c r="E876" s="303"/>
      <c r="F876" s="302">
        <v>46.374241048844802</v>
      </c>
      <c r="G876" s="302">
        <v>49.489282999580965</v>
      </c>
      <c r="H876" s="302">
        <f>SUM(F876:G876)</f>
        <v>95.863524048425774</v>
      </c>
      <c r="I876" s="303"/>
      <c r="J876" s="302">
        <v>55.163927023677473</v>
      </c>
      <c r="K876" s="302">
        <v>56.751027940579618</v>
      </c>
      <c r="L876" s="302">
        <f>SUM(J876:K876)</f>
        <v>111.91495496425709</v>
      </c>
      <c r="M876" s="236"/>
      <c r="N876" s="236"/>
    </row>
    <row r="877" spans="1:14" x14ac:dyDescent="0.3">
      <c r="A877" s="237" t="str">
        <f>name!E$5</f>
        <v>Professional occupations</v>
      </c>
      <c r="B877" s="302">
        <v>101.94305952345516</v>
      </c>
      <c r="C877" s="302">
        <v>145.88955519238337</v>
      </c>
      <c r="D877" s="302">
        <f t="shared" ref="D877:D884" si="322">SUM(B877:C877)</f>
        <v>247.83261471583853</v>
      </c>
      <c r="E877" s="303"/>
      <c r="F877" s="302">
        <v>138.32043890678389</v>
      </c>
      <c r="G877" s="302">
        <v>154.97614761764203</v>
      </c>
      <c r="H877" s="302">
        <f t="shared" ref="H877:H884" si="323">SUM(F877:G877)</f>
        <v>293.29658652442595</v>
      </c>
      <c r="I877" s="303"/>
      <c r="J877" s="302">
        <v>176.12225123466828</v>
      </c>
      <c r="K877" s="302">
        <v>183.89769710114456</v>
      </c>
      <c r="L877" s="302">
        <f t="shared" ref="L877:L884" si="324">SUM(J877:K877)</f>
        <v>360.01994833581284</v>
      </c>
      <c r="M877" s="236"/>
      <c r="N877" s="236"/>
    </row>
    <row r="878" spans="1:14" x14ac:dyDescent="0.3">
      <c r="A878" s="237" t="str">
        <f>name!E$6</f>
        <v>Associate professional occupations</v>
      </c>
      <c r="B878" s="302">
        <v>68.932916295588186</v>
      </c>
      <c r="C878" s="302">
        <v>61.807726624446303</v>
      </c>
      <c r="D878" s="302">
        <f t="shared" si="322"/>
        <v>130.74064292003447</v>
      </c>
      <c r="E878" s="303"/>
      <c r="F878" s="302">
        <v>78.325557377956017</v>
      </c>
      <c r="G878" s="302">
        <v>63.71691439532114</v>
      </c>
      <c r="H878" s="302">
        <f t="shared" si="323"/>
        <v>142.04247177327716</v>
      </c>
      <c r="I878" s="303"/>
      <c r="J878" s="302">
        <v>90.077694776041355</v>
      </c>
      <c r="K878" s="302">
        <v>64.577849841268417</v>
      </c>
      <c r="L878" s="302">
        <f t="shared" si="324"/>
        <v>154.65554461730977</v>
      </c>
      <c r="M878" s="236"/>
      <c r="N878" s="236"/>
    </row>
    <row r="879" spans="1:14" x14ac:dyDescent="0.3">
      <c r="A879" s="237" t="str">
        <f>name!E$7</f>
        <v>Administrative and secretarial occupations</v>
      </c>
      <c r="B879" s="302">
        <v>116.71951790388927</v>
      </c>
      <c r="C879" s="302">
        <v>24.123433700336744</v>
      </c>
      <c r="D879" s="302">
        <f t="shared" si="322"/>
        <v>140.84295160422602</v>
      </c>
      <c r="E879" s="303"/>
      <c r="F879" s="302">
        <v>116.720139818807</v>
      </c>
      <c r="G879" s="302">
        <v>25.745164288660739</v>
      </c>
      <c r="H879" s="302">
        <f t="shared" si="323"/>
        <v>142.46530410746774</v>
      </c>
      <c r="I879" s="303"/>
      <c r="J879" s="302">
        <v>89.267031565986557</v>
      </c>
      <c r="K879" s="302">
        <v>29.228889233337355</v>
      </c>
      <c r="L879" s="302">
        <f t="shared" si="324"/>
        <v>118.49592079932391</v>
      </c>
      <c r="M879" s="236"/>
      <c r="N879" s="236"/>
    </row>
    <row r="880" spans="1:14" x14ac:dyDescent="0.3">
      <c r="A880" s="237" t="str">
        <f>name!E$8</f>
        <v>Skilled trades occupations</v>
      </c>
      <c r="B880" s="302">
        <v>2.6903740702660426</v>
      </c>
      <c r="C880" s="302">
        <v>13.797026633853525</v>
      </c>
      <c r="D880" s="302">
        <f t="shared" si="322"/>
        <v>16.487400704119569</v>
      </c>
      <c r="E880" s="303"/>
      <c r="F880" s="302">
        <v>3.0341253871155636</v>
      </c>
      <c r="G880" s="302">
        <v>9.3260016080109676</v>
      </c>
      <c r="H880" s="302">
        <f t="shared" si="323"/>
        <v>12.360126995126532</v>
      </c>
      <c r="I880" s="303"/>
      <c r="J880" s="302">
        <v>6.2772664344008957</v>
      </c>
      <c r="K880" s="302">
        <v>8.7556529737697186</v>
      </c>
      <c r="L880" s="302">
        <f t="shared" si="324"/>
        <v>15.032919408170613</v>
      </c>
      <c r="M880" s="236"/>
      <c r="N880" s="236"/>
    </row>
    <row r="881" spans="1:14" x14ac:dyDescent="0.3">
      <c r="A881" s="237" t="str">
        <f>name!E$9</f>
        <v>Caring, leisure and other service occupations</v>
      </c>
      <c r="B881" s="302">
        <v>1.7670622927040802</v>
      </c>
      <c r="C881" s="302">
        <v>1.4048044145929957</v>
      </c>
      <c r="D881" s="302">
        <f t="shared" si="322"/>
        <v>3.1718667072970756</v>
      </c>
      <c r="E881" s="303"/>
      <c r="F881" s="302">
        <v>1.6605379382757739</v>
      </c>
      <c r="G881" s="302">
        <v>1.3775324609949244</v>
      </c>
      <c r="H881" s="302">
        <f t="shared" si="323"/>
        <v>3.0380703992706986</v>
      </c>
      <c r="I881" s="303"/>
      <c r="J881" s="302">
        <v>1.9824886390731578</v>
      </c>
      <c r="K881" s="302">
        <v>2.3427309388178745</v>
      </c>
      <c r="L881" s="302">
        <f t="shared" si="324"/>
        <v>4.3252195778910325</v>
      </c>
      <c r="M881" s="236"/>
      <c r="N881" s="236"/>
    </row>
    <row r="882" spans="1:14" x14ac:dyDescent="0.3">
      <c r="A882" s="237" t="str">
        <f>name!E$10</f>
        <v>Sales and customer service occupations</v>
      </c>
      <c r="B882" s="302">
        <v>20.271140535797311</v>
      </c>
      <c r="C882" s="302">
        <v>7.4375473262645979</v>
      </c>
      <c r="D882" s="302">
        <f t="shared" si="322"/>
        <v>27.708687862061907</v>
      </c>
      <c r="E882" s="303"/>
      <c r="F882" s="302">
        <v>19.031431973147882</v>
      </c>
      <c r="G882" s="302">
        <v>6.9929037139260926</v>
      </c>
      <c r="H882" s="302">
        <f t="shared" si="323"/>
        <v>26.024335687073975</v>
      </c>
      <c r="I882" s="303"/>
      <c r="J882" s="302">
        <v>19.631134472525709</v>
      </c>
      <c r="K882" s="302">
        <v>9.453654944122416</v>
      </c>
      <c r="L882" s="302">
        <f t="shared" si="324"/>
        <v>29.084789416648125</v>
      </c>
      <c r="M882" s="236"/>
      <c r="N882" s="236"/>
    </row>
    <row r="883" spans="1:14" x14ac:dyDescent="0.3">
      <c r="A883" s="237" t="str">
        <f>name!E$11</f>
        <v>Process, plant and machine operatives</v>
      </c>
      <c r="B883" s="302">
        <v>1.6591028110666397</v>
      </c>
      <c r="C883" s="302">
        <v>4.9627273452912979</v>
      </c>
      <c r="D883" s="302">
        <f t="shared" si="322"/>
        <v>6.6218301563579374</v>
      </c>
      <c r="E883" s="303"/>
      <c r="F883" s="302">
        <v>1.4586499229371717</v>
      </c>
      <c r="G883" s="302">
        <v>3.9677852679795049</v>
      </c>
      <c r="H883" s="302">
        <f t="shared" si="323"/>
        <v>5.4264351909166768</v>
      </c>
      <c r="I883" s="303"/>
      <c r="J883" s="302">
        <v>2.5027721492562636</v>
      </c>
      <c r="K883" s="302">
        <v>4.5909299466900153</v>
      </c>
      <c r="L883" s="302">
        <f t="shared" si="324"/>
        <v>7.0937020959462789</v>
      </c>
      <c r="M883" s="236"/>
      <c r="N883" s="236"/>
    </row>
    <row r="884" spans="1:14" x14ac:dyDescent="0.3">
      <c r="A884" s="237" t="str">
        <f>name!E$12</f>
        <v>Elementary occupations</v>
      </c>
      <c r="B884" s="302">
        <v>7.8272905960346018</v>
      </c>
      <c r="C884" s="302">
        <v>3.9499286460818732</v>
      </c>
      <c r="D884" s="302">
        <f t="shared" si="322"/>
        <v>11.777219242116475</v>
      </c>
      <c r="E884" s="303"/>
      <c r="F884" s="302">
        <v>6.6688776221608581</v>
      </c>
      <c r="G884" s="302">
        <v>3.1532676482303845</v>
      </c>
      <c r="H884" s="302">
        <f t="shared" si="323"/>
        <v>9.8221452703912426</v>
      </c>
      <c r="I884" s="303"/>
      <c r="J884" s="302">
        <v>6.5194337075619568</v>
      </c>
      <c r="K884" s="302">
        <v>3.0825670829122447</v>
      </c>
      <c r="L884" s="302">
        <f t="shared" si="324"/>
        <v>9.602000790474202</v>
      </c>
      <c r="M884" s="236"/>
      <c r="N884" s="236"/>
    </row>
    <row r="885" spans="1:14" x14ac:dyDescent="0.3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3">
      <c r="A886" s="244" t="s">
        <v>32</v>
      </c>
      <c r="B886" s="311">
        <f>SUM(B876:B884)</f>
        <v>358.26199999550425</v>
      </c>
      <c r="C886" s="311">
        <f t="shared" ref="C886:D886" si="325">SUM(C876:C884)</f>
        <v>312.02499999534808</v>
      </c>
      <c r="D886" s="311">
        <f t="shared" si="325"/>
        <v>670.28699999085222</v>
      </c>
      <c r="E886" s="311"/>
      <c r="F886" s="311">
        <f t="shared" ref="F886:H886" si="326">SUM(F876:F884)</f>
        <v>411.59399999602897</v>
      </c>
      <c r="G886" s="311">
        <f t="shared" si="326"/>
        <v>318.74500000034675</v>
      </c>
      <c r="H886" s="311">
        <f t="shared" si="326"/>
        <v>730.33899999637583</v>
      </c>
      <c r="I886" s="311"/>
      <c r="J886" s="311">
        <f t="shared" ref="J886:L886" si="327">SUM(J876:J884)</f>
        <v>447.54400000319163</v>
      </c>
      <c r="K886" s="311">
        <f t="shared" si="327"/>
        <v>362.68100000264224</v>
      </c>
      <c r="L886" s="311">
        <f t="shared" si="327"/>
        <v>810.22500000583398</v>
      </c>
      <c r="M886" s="236"/>
      <c r="N886" s="236"/>
    </row>
    <row r="887" spans="1:14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3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3">
      <c r="A890" s="241" t="str">
        <f>name!A55</f>
        <v>Head offices, etc</v>
      </c>
      <c r="B890" s="373">
        <f>B$6</f>
        <v>2015</v>
      </c>
      <c r="C890" s="373"/>
      <c r="D890" s="373"/>
      <c r="E890" s="253"/>
      <c r="F890" s="373">
        <f>F$6</f>
        <v>2020</v>
      </c>
      <c r="G890" s="373"/>
      <c r="H890" s="373"/>
      <c r="I890" s="253"/>
      <c r="J890" s="373">
        <f>J$6</f>
        <v>2035</v>
      </c>
      <c r="K890" s="373"/>
      <c r="L890" s="373"/>
      <c r="M890" s="236"/>
      <c r="N890" s="236"/>
    </row>
    <row r="891" spans="1:14" x14ac:dyDescent="0.3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3">
      <c r="A893" s="237" t="str">
        <f>name!E$4</f>
        <v>Managers, directors and senior officials</v>
      </c>
      <c r="B893" s="302">
        <v>37.072633213944812</v>
      </c>
      <c r="C893" s="302">
        <v>66.637359262807877</v>
      </c>
      <c r="D893" s="302">
        <f>SUM(B893:C893)</f>
        <v>103.70999247675269</v>
      </c>
      <c r="E893" s="303"/>
      <c r="F893" s="302">
        <v>42.349045797593575</v>
      </c>
      <c r="G893" s="302">
        <v>69.017096263932359</v>
      </c>
      <c r="H893" s="302">
        <f>SUM(F893:G893)</f>
        <v>111.36614206152593</v>
      </c>
      <c r="I893" s="303"/>
      <c r="J893" s="302">
        <v>51.454100421926178</v>
      </c>
      <c r="K893" s="302">
        <v>71.10398307148769</v>
      </c>
      <c r="L893" s="302">
        <f>SUM(J893:K893)</f>
        <v>122.55808349341387</v>
      </c>
      <c r="M893" s="236"/>
      <c r="N893" s="236"/>
    </row>
    <row r="894" spans="1:14" x14ac:dyDescent="0.3">
      <c r="A894" s="237" t="str">
        <f>name!E$5</f>
        <v>Professional occupations</v>
      </c>
      <c r="B894" s="302">
        <v>100.7687600194531</v>
      </c>
      <c r="C894" s="302">
        <v>186.35805705675963</v>
      </c>
      <c r="D894" s="302">
        <f t="shared" ref="D894:D901" si="328">SUM(B894:C894)</f>
        <v>287.12681707621272</v>
      </c>
      <c r="E894" s="303"/>
      <c r="F894" s="302">
        <v>121.56644271487237</v>
      </c>
      <c r="G894" s="302">
        <v>207.45920281427334</v>
      </c>
      <c r="H894" s="302">
        <f t="shared" ref="H894:H901" si="329">SUM(F894:G894)</f>
        <v>329.02564552914572</v>
      </c>
      <c r="I894" s="303"/>
      <c r="J894" s="302">
        <v>157.70618548094379</v>
      </c>
      <c r="K894" s="302">
        <v>231.24013673047295</v>
      </c>
      <c r="L894" s="302">
        <f t="shared" ref="L894:L901" si="330">SUM(J894:K894)</f>
        <v>388.94632221141671</v>
      </c>
      <c r="M894" s="236"/>
      <c r="N894" s="236"/>
    </row>
    <row r="895" spans="1:14" x14ac:dyDescent="0.3">
      <c r="A895" s="237" t="str">
        <f>name!E$6</f>
        <v>Associate professional occupations</v>
      </c>
      <c r="B895" s="302">
        <v>68.140400807730913</v>
      </c>
      <c r="C895" s="302">
        <v>83.031876902971959</v>
      </c>
      <c r="D895" s="302">
        <f t="shared" si="328"/>
        <v>151.17227771070287</v>
      </c>
      <c r="E895" s="303"/>
      <c r="F895" s="302">
        <v>68.639911809400715</v>
      </c>
      <c r="G895" s="302">
        <v>88.100172688025395</v>
      </c>
      <c r="H895" s="302">
        <f t="shared" si="329"/>
        <v>156.7400844974261</v>
      </c>
      <c r="I895" s="303"/>
      <c r="J895" s="302">
        <v>80.294045613572351</v>
      </c>
      <c r="K895" s="302">
        <v>81.150644870000448</v>
      </c>
      <c r="L895" s="302">
        <f t="shared" si="330"/>
        <v>161.4446904835728</v>
      </c>
      <c r="M895" s="236"/>
      <c r="N895" s="236"/>
    </row>
    <row r="896" spans="1:14" x14ac:dyDescent="0.3">
      <c r="A896" s="237" t="str">
        <f>name!E$7</f>
        <v>Administrative and secretarial occupations</v>
      </c>
      <c r="B896" s="302">
        <v>120.9026456043122</v>
      </c>
      <c r="C896" s="302">
        <v>30.724174625220165</v>
      </c>
      <c r="D896" s="302">
        <f t="shared" si="328"/>
        <v>151.62682022953237</v>
      </c>
      <c r="E896" s="303"/>
      <c r="F896" s="302">
        <v>108.14800872767997</v>
      </c>
      <c r="G896" s="302">
        <v>36.919317925586476</v>
      </c>
      <c r="H896" s="302">
        <f t="shared" si="329"/>
        <v>145.06732665326643</v>
      </c>
      <c r="I896" s="303"/>
      <c r="J896" s="302">
        <v>86.15795795035072</v>
      </c>
      <c r="K896" s="302">
        <v>36.827184527332477</v>
      </c>
      <c r="L896" s="302">
        <f t="shared" si="330"/>
        <v>122.9851424776832</v>
      </c>
      <c r="M896" s="236"/>
      <c r="N896" s="236"/>
    </row>
    <row r="897" spans="1:14" x14ac:dyDescent="0.3">
      <c r="A897" s="237" t="str">
        <f>name!E$8</f>
        <v>Skilled trades occupations</v>
      </c>
      <c r="B897" s="302">
        <v>2.682673696923787</v>
      </c>
      <c r="C897" s="302">
        <v>18.585345614448631</v>
      </c>
      <c r="D897" s="302">
        <f t="shared" si="328"/>
        <v>21.268019311372417</v>
      </c>
      <c r="E897" s="303"/>
      <c r="F897" s="302">
        <v>2.6433772443999013</v>
      </c>
      <c r="G897" s="302">
        <v>13.003310046657408</v>
      </c>
      <c r="H897" s="302">
        <f t="shared" si="329"/>
        <v>15.646687291057308</v>
      </c>
      <c r="I897" s="303"/>
      <c r="J897" s="302">
        <v>5.5498083956619899</v>
      </c>
      <c r="K897" s="302">
        <v>10.710269362540137</v>
      </c>
      <c r="L897" s="302">
        <f t="shared" si="330"/>
        <v>16.260077758202126</v>
      </c>
      <c r="M897" s="236"/>
      <c r="N897" s="236"/>
    </row>
    <row r="898" spans="1:14" x14ac:dyDescent="0.3">
      <c r="A898" s="237" t="str">
        <f>name!E$9</f>
        <v>Caring, leisure and other service occupations</v>
      </c>
      <c r="B898" s="302">
        <v>1.7254063621955309</v>
      </c>
      <c r="C898" s="302">
        <v>1.497738688402019</v>
      </c>
      <c r="D898" s="302">
        <f t="shared" si="328"/>
        <v>3.2231450505975499</v>
      </c>
      <c r="E898" s="303"/>
      <c r="F898" s="302">
        <v>1.4345834485974251</v>
      </c>
      <c r="G898" s="302">
        <v>1.4875331140090378</v>
      </c>
      <c r="H898" s="302">
        <f t="shared" si="329"/>
        <v>2.9221165626064627</v>
      </c>
      <c r="I898" s="303"/>
      <c r="J898" s="302">
        <v>1.6179858759083234</v>
      </c>
      <c r="K898" s="302">
        <v>2.142210665908086</v>
      </c>
      <c r="L898" s="302">
        <f t="shared" si="330"/>
        <v>3.7601965418164092</v>
      </c>
      <c r="M898" s="236"/>
      <c r="N898" s="236"/>
    </row>
    <row r="899" spans="1:14" x14ac:dyDescent="0.3">
      <c r="A899" s="237" t="str">
        <f>name!E$10</f>
        <v>Sales and customer service occupations</v>
      </c>
      <c r="B899" s="302">
        <v>19.824353332755031</v>
      </c>
      <c r="C899" s="302">
        <v>9.7712680689076521</v>
      </c>
      <c r="D899" s="302">
        <f t="shared" si="328"/>
        <v>29.595621401662683</v>
      </c>
      <c r="E899" s="303"/>
      <c r="F899" s="302">
        <v>17.027829580220924</v>
      </c>
      <c r="G899" s="302">
        <v>9.5618851931018547</v>
      </c>
      <c r="H899" s="302">
        <f t="shared" si="329"/>
        <v>26.589714773322779</v>
      </c>
      <c r="I899" s="303"/>
      <c r="J899" s="302">
        <v>18.07985551525304</v>
      </c>
      <c r="K899" s="302">
        <v>12.014498743839534</v>
      </c>
      <c r="L899" s="302">
        <f t="shared" si="330"/>
        <v>30.094354259092576</v>
      </c>
      <c r="M899" s="236"/>
      <c r="N899" s="236"/>
    </row>
    <row r="900" spans="1:14" x14ac:dyDescent="0.3">
      <c r="A900" s="237" t="str">
        <f>name!E$11</f>
        <v>Process, plant and machine operatives</v>
      </c>
      <c r="B900" s="302">
        <v>1.784402499507179</v>
      </c>
      <c r="C900" s="302">
        <v>6.8865686160691872</v>
      </c>
      <c r="D900" s="302">
        <f t="shared" si="328"/>
        <v>8.670971115576366</v>
      </c>
      <c r="E900" s="303"/>
      <c r="F900" s="302">
        <v>1.3021449013831772</v>
      </c>
      <c r="G900" s="302">
        <v>5.7107280544677259</v>
      </c>
      <c r="H900" s="302">
        <f t="shared" si="329"/>
        <v>7.0128729558509031</v>
      </c>
      <c r="I900" s="303"/>
      <c r="J900" s="302">
        <v>2.2673989449405427</v>
      </c>
      <c r="K900" s="302">
        <v>5.9595128950743765</v>
      </c>
      <c r="L900" s="302">
        <f t="shared" si="330"/>
        <v>8.2269118400149193</v>
      </c>
      <c r="M900" s="236"/>
      <c r="N900" s="236"/>
    </row>
    <row r="901" spans="1:14" x14ac:dyDescent="0.3">
      <c r="A901" s="237" t="str">
        <f>name!E$12</f>
        <v>Elementary occupations</v>
      </c>
      <c r="B901" s="302">
        <v>8.1897244588222744</v>
      </c>
      <c r="C901" s="302">
        <v>5.4806111572249776</v>
      </c>
      <c r="D901" s="302">
        <f t="shared" si="328"/>
        <v>13.670335616047252</v>
      </c>
      <c r="E901" s="303"/>
      <c r="F901" s="302">
        <v>6.1576557725871774</v>
      </c>
      <c r="G901" s="302">
        <v>4.5647538987178944</v>
      </c>
      <c r="H901" s="302">
        <f t="shared" si="329"/>
        <v>10.722409671305073</v>
      </c>
      <c r="I901" s="303"/>
      <c r="J901" s="302">
        <v>5.8386618043662635</v>
      </c>
      <c r="K901" s="302">
        <v>3.9825591339151099</v>
      </c>
      <c r="L901" s="302">
        <f t="shared" si="330"/>
        <v>9.8212209382813729</v>
      </c>
      <c r="M901" s="236"/>
      <c r="N901" s="236"/>
    </row>
    <row r="902" spans="1:14" x14ac:dyDescent="0.3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3">
      <c r="A903" s="244" t="s">
        <v>32</v>
      </c>
      <c r="B903" s="311">
        <f>SUM(B893:B901)</f>
        <v>361.09099999564489</v>
      </c>
      <c r="C903" s="311">
        <f t="shared" ref="C903:D903" si="331">SUM(C893:C901)</f>
        <v>408.97299999281211</v>
      </c>
      <c r="D903" s="311">
        <f t="shared" si="331"/>
        <v>770.06399998845689</v>
      </c>
      <c r="E903" s="311"/>
      <c r="F903" s="311">
        <f t="shared" ref="F903:H903" si="332">SUM(F893:F901)</f>
        <v>369.26899999673532</v>
      </c>
      <c r="G903" s="311">
        <f t="shared" si="332"/>
        <v>435.8239999987714</v>
      </c>
      <c r="H903" s="311">
        <f t="shared" si="332"/>
        <v>805.0929999955066</v>
      </c>
      <c r="I903" s="311"/>
      <c r="J903" s="311">
        <f t="shared" ref="J903:L903" si="333">SUM(J893:J901)</f>
        <v>408.96600000292329</v>
      </c>
      <c r="K903" s="311">
        <f t="shared" si="333"/>
        <v>455.13100000057079</v>
      </c>
      <c r="L903" s="311">
        <f t="shared" si="333"/>
        <v>864.09700000349403</v>
      </c>
      <c r="M903" s="236"/>
      <c r="N903" s="236"/>
    </row>
    <row r="904" spans="1:14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3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3">
      <c r="A907" s="241" t="str">
        <f>name!A56</f>
        <v>Architectural and related</v>
      </c>
      <c r="B907" s="373">
        <f>B$6</f>
        <v>2015</v>
      </c>
      <c r="C907" s="373"/>
      <c r="D907" s="373"/>
      <c r="E907" s="253"/>
      <c r="F907" s="373">
        <f>F$6</f>
        <v>2020</v>
      </c>
      <c r="G907" s="373"/>
      <c r="H907" s="373"/>
      <c r="I907" s="253"/>
      <c r="J907" s="373">
        <f>J$6</f>
        <v>2035</v>
      </c>
      <c r="K907" s="373"/>
      <c r="L907" s="373"/>
      <c r="M907" s="236"/>
      <c r="N907" s="236"/>
    </row>
    <row r="908" spans="1:14" x14ac:dyDescent="0.3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3">
      <c r="A910" s="237" t="str">
        <f>name!E$4</f>
        <v>Managers, directors and senior officials</v>
      </c>
      <c r="B910" s="302">
        <v>14.423344188177667</v>
      </c>
      <c r="C910" s="302">
        <v>54.887442647453931</v>
      </c>
      <c r="D910" s="302">
        <f>SUM(B910:C910)</f>
        <v>69.310786835631603</v>
      </c>
      <c r="E910" s="303"/>
      <c r="F910" s="302">
        <v>17.26018956914114</v>
      </c>
      <c r="G910" s="302">
        <v>64.604804973925809</v>
      </c>
      <c r="H910" s="302">
        <f>SUM(F910:G910)</f>
        <v>81.864994543066956</v>
      </c>
      <c r="I910" s="303"/>
      <c r="J910" s="302">
        <v>20.782293097849621</v>
      </c>
      <c r="K910" s="302">
        <v>63.346922303026119</v>
      </c>
      <c r="L910" s="302">
        <f>SUM(J910:K910)</f>
        <v>84.129215400875736</v>
      </c>
      <c r="M910" s="236"/>
      <c r="N910" s="236"/>
    </row>
    <row r="911" spans="1:14" x14ac:dyDescent="0.3">
      <c r="A911" s="237" t="str">
        <f>name!E$5</f>
        <v>Professional occupations</v>
      </c>
      <c r="B911" s="302">
        <v>39.476727198672755</v>
      </c>
      <c r="C911" s="302">
        <v>158.54748756378947</v>
      </c>
      <c r="D911" s="302">
        <f t="shared" ref="D911:D918" si="334">SUM(B911:C911)</f>
        <v>198.02421476246224</v>
      </c>
      <c r="E911" s="303"/>
      <c r="F911" s="302">
        <v>52.097123499009157</v>
      </c>
      <c r="G911" s="302">
        <v>201.05255303125503</v>
      </c>
      <c r="H911" s="302">
        <f t="shared" ref="H911:H918" si="335">SUM(F911:G911)</f>
        <v>253.14967653026417</v>
      </c>
      <c r="I911" s="303"/>
      <c r="J911" s="302">
        <v>68.188882180116309</v>
      </c>
      <c r="K911" s="302">
        <v>210.24730604407557</v>
      </c>
      <c r="L911" s="302">
        <f t="shared" ref="L911:L918" si="336">SUM(J911:K911)</f>
        <v>278.43618822419188</v>
      </c>
      <c r="M911" s="236"/>
      <c r="N911" s="236"/>
    </row>
    <row r="912" spans="1:14" x14ac:dyDescent="0.3">
      <c r="A912" s="237" t="str">
        <f>name!E$6</f>
        <v>Associate professional occupations</v>
      </c>
      <c r="B912" s="302">
        <v>26.942291835402184</v>
      </c>
      <c r="C912" s="302">
        <v>68.057134444347156</v>
      </c>
      <c r="D912" s="302">
        <f t="shared" si="334"/>
        <v>94.999426279749343</v>
      </c>
      <c r="E912" s="303"/>
      <c r="F912" s="302">
        <v>29.433939202390302</v>
      </c>
      <c r="G912" s="302">
        <v>82.263774660861031</v>
      </c>
      <c r="H912" s="302">
        <f t="shared" si="335"/>
        <v>111.69771386325134</v>
      </c>
      <c r="I912" s="303"/>
      <c r="J912" s="302">
        <v>34.070635580398665</v>
      </c>
      <c r="K912" s="302">
        <v>72.601140172798068</v>
      </c>
      <c r="L912" s="302">
        <f t="shared" si="336"/>
        <v>106.67177575319673</v>
      </c>
      <c r="M912" s="236"/>
      <c r="N912" s="236"/>
    </row>
    <row r="913" spans="1:14" x14ac:dyDescent="0.3">
      <c r="A913" s="237" t="str">
        <f>name!E$7</f>
        <v>Administrative and secretarial occupations</v>
      </c>
      <c r="B913" s="302">
        <v>49.416499807412961</v>
      </c>
      <c r="C913" s="302">
        <v>27.498201592277013</v>
      </c>
      <c r="D913" s="302">
        <f t="shared" si="334"/>
        <v>76.914701399689974</v>
      </c>
      <c r="E913" s="303"/>
      <c r="F913" s="302">
        <v>43.615466487086962</v>
      </c>
      <c r="G913" s="302">
        <v>33.084002824930501</v>
      </c>
      <c r="H913" s="302">
        <f t="shared" si="335"/>
        <v>76.69946931201747</v>
      </c>
      <c r="I913" s="303"/>
      <c r="J913" s="302">
        <v>31.884630729478861</v>
      </c>
      <c r="K913" s="302">
        <v>34.262865492978491</v>
      </c>
      <c r="L913" s="302">
        <f t="shared" si="336"/>
        <v>66.147496222457349</v>
      </c>
      <c r="M913" s="236"/>
      <c r="N913" s="236"/>
    </row>
    <row r="914" spans="1:14" x14ac:dyDescent="0.3">
      <c r="A914" s="237" t="str">
        <f>name!E$8</f>
        <v>Skilled trades occupations</v>
      </c>
      <c r="B914" s="302">
        <v>1.0649201871807066</v>
      </c>
      <c r="C914" s="302">
        <v>16.681720511956179</v>
      </c>
      <c r="D914" s="302">
        <f t="shared" si="334"/>
        <v>17.746640699136886</v>
      </c>
      <c r="E914" s="303"/>
      <c r="F914" s="302">
        <v>1.128479307676123</v>
      </c>
      <c r="G914" s="302">
        <v>13.21462709664103</v>
      </c>
      <c r="H914" s="302">
        <f t="shared" si="335"/>
        <v>14.343106404317153</v>
      </c>
      <c r="I914" s="303"/>
      <c r="J914" s="302">
        <v>2.436558788671582</v>
      </c>
      <c r="K914" s="302">
        <v>10.269531588559079</v>
      </c>
      <c r="L914" s="302">
        <f t="shared" si="336"/>
        <v>12.706090377230662</v>
      </c>
      <c r="M914" s="236"/>
      <c r="N914" s="236"/>
    </row>
    <row r="915" spans="1:14" x14ac:dyDescent="0.3">
      <c r="A915" s="237" t="str">
        <f>name!E$9</f>
        <v>Caring, leisure and other service occupations</v>
      </c>
      <c r="B915" s="302">
        <v>0.70027780233209946</v>
      </c>
      <c r="C915" s="302">
        <v>1.4086672857028157</v>
      </c>
      <c r="D915" s="302">
        <f t="shared" si="334"/>
        <v>2.1089450880349152</v>
      </c>
      <c r="E915" s="303"/>
      <c r="F915" s="302">
        <v>0.6073951411646703</v>
      </c>
      <c r="G915" s="302">
        <v>1.5910401918775492</v>
      </c>
      <c r="H915" s="302">
        <f t="shared" si="335"/>
        <v>2.1984353330422195</v>
      </c>
      <c r="I915" s="303"/>
      <c r="J915" s="302">
        <v>0.70497012235563583</v>
      </c>
      <c r="K915" s="302">
        <v>2.3465117827457518</v>
      </c>
      <c r="L915" s="302">
        <f t="shared" si="336"/>
        <v>3.0514819051013875</v>
      </c>
      <c r="M915" s="236"/>
      <c r="N915" s="236"/>
    </row>
    <row r="916" spans="1:14" x14ac:dyDescent="0.3">
      <c r="A916" s="237" t="str">
        <f>name!E$10</f>
        <v>Sales and customer service occupations</v>
      </c>
      <c r="B916" s="302">
        <v>8.5592789239354143</v>
      </c>
      <c r="C916" s="302">
        <v>7.9235824772203038</v>
      </c>
      <c r="D916" s="302">
        <f t="shared" si="334"/>
        <v>16.482861401155716</v>
      </c>
      <c r="E916" s="303"/>
      <c r="F916" s="302">
        <v>7.2312395820216109</v>
      </c>
      <c r="G916" s="302">
        <v>8.2449908816866362</v>
      </c>
      <c r="H916" s="302">
        <f t="shared" si="335"/>
        <v>15.476230463708248</v>
      </c>
      <c r="I916" s="303"/>
      <c r="J916" s="302">
        <v>7.4447122577836842</v>
      </c>
      <c r="K916" s="302">
        <v>9.8231241140484133</v>
      </c>
      <c r="L916" s="302">
        <f t="shared" si="336"/>
        <v>17.267836371832097</v>
      </c>
      <c r="M916" s="236"/>
      <c r="N916" s="236"/>
    </row>
    <row r="917" spans="1:14" x14ac:dyDescent="0.3">
      <c r="A917" s="237" t="str">
        <f>name!E$11</f>
        <v>Process, plant and machine operatives</v>
      </c>
      <c r="B917" s="302">
        <v>0.62405207132832863</v>
      </c>
      <c r="C917" s="302">
        <v>6.5411551886636934</v>
      </c>
      <c r="D917" s="302">
        <f t="shared" si="334"/>
        <v>7.1652072599920222</v>
      </c>
      <c r="E917" s="303"/>
      <c r="F917" s="302">
        <v>0.49361144893134734</v>
      </c>
      <c r="G917" s="302">
        <v>5.4825594389065788</v>
      </c>
      <c r="H917" s="302">
        <f t="shared" si="335"/>
        <v>5.9761708878379265</v>
      </c>
      <c r="I917" s="303"/>
      <c r="J917" s="302">
        <v>0.78868288436521583</v>
      </c>
      <c r="K917" s="302">
        <v>5.4366947850712259</v>
      </c>
      <c r="L917" s="302">
        <f t="shared" si="336"/>
        <v>6.2253776694364422</v>
      </c>
      <c r="M917" s="236"/>
      <c r="N917" s="236"/>
    </row>
    <row r="918" spans="1:14" x14ac:dyDescent="0.3">
      <c r="A918" s="237" t="str">
        <f>name!E$12</f>
        <v>Elementary occupations</v>
      </c>
      <c r="B918" s="302">
        <v>3.1786079837702452</v>
      </c>
      <c r="C918" s="302">
        <v>4.7446082836230961</v>
      </c>
      <c r="D918" s="302">
        <f t="shared" si="334"/>
        <v>7.9232162673933413</v>
      </c>
      <c r="E918" s="303"/>
      <c r="F918" s="302">
        <v>2.4985557609605786</v>
      </c>
      <c r="G918" s="302">
        <v>4.1756468976061267</v>
      </c>
      <c r="H918" s="302">
        <f t="shared" si="335"/>
        <v>6.6742026585667054</v>
      </c>
      <c r="I918" s="303"/>
      <c r="J918" s="302">
        <v>2.4096343603044517</v>
      </c>
      <c r="K918" s="302">
        <v>3.5099037168993887</v>
      </c>
      <c r="L918" s="302">
        <f t="shared" si="336"/>
        <v>5.9195380772038408</v>
      </c>
      <c r="M918" s="236"/>
      <c r="N918" s="236"/>
    </row>
    <row r="919" spans="1:14" x14ac:dyDescent="0.3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3">
      <c r="A920" s="244" t="s">
        <v>32</v>
      </c>
      <c r="B920" s="311">
        <f>SUM(B910:B918)</f>
        <v>144.38599999821236</v>
      </c>
      <c r="C920" s="311">
        <f t="shared" ref="C920:D920" si="337">SUM(C910:C918)</f>
        <v>346.28999999503367</v>
      </c>
      <c r="D920" s="311">
        <f t="shared" si="337"/>
        <v>490.67599999324614</v>
      </c>
      <c r="E920" s="311"/>
      <c r="F920" s="311">
        <f t="shared" ref="F920:H920" si="338">SUM(F910:F918)</f>
        <v>154.36599999838188</v>
      </c>
      <c r="G920" s="311">
        <f t="shared" si="338"/>
        <v>413.71399999769034</v>
      </c>
      <c r="H920" s="311">
        <f t="shared" si="338"/>
        <v>568.07999999607216</v>
      </c>
      <c r="I920" s="311"/>
      <c r="J920" s="311">
        <f t="shared" ref="J920:L920" si="339">SUM(J910:J918)</f>
        <v>168.71100000132401</v>
      </c>
      <c r="K920" s="311">
        <f t="shared" si="339"/>
        <v>411.84400000020213</v>
      </c>
      <c r="L920" s="311">
        <f t="shared" si="339"/>
        <v>580.55500000152608</v>
      </c>
      <c r="M920" s="236"/>
      <c r="N920" s="236"/>
    </row>
    <row r="921" spans="1:14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3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3">
      <c r="A924" s="241" t="str">
        <f>name!A57</f>
        <v>Scientific research and development</v>
      </c>
      <c r="B924" s="373">
        <f>B$6</f>
        <v>2015</v>
      </c>
      <c r="C924" s="373"/>
      <c r="D924" s="373"/>
      <c r="E924" s="253"/>
      <c r="F924" s="373">
        <f>F$6</f>
        <v>2020</v>
      </c>
      <c r="G924" s="373"/>
      <c r="H924" s="373"/>
      <c r="I924" s="253"/>
      <c r="J924" s="373">
        <f>J$6</f>
        <v>2035</v>
      </c>
      <c r="K924" s="373"/>
      <c r="L924" s="373"/>
      <c r="M924" s="236"/>
      <c r="N924" s="236"/>
    </row>
    <row r="925" spans="1:14" x14ac:dyDescent="0.3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3">
      <c r="A927" s="237" t="str">
        <f>name!E$4</f>
        <v>Managers, directors and senior officials</v>
      </c>
      <c r="B927" s="302">
        <v>4.2774203660160071</v>
      </c>
      <c r="C927" s="302">
        <v>12.242182023601522</v>
      </c>
      <c r="D927" s="302">
        <f>SUM(B927:C927)</f>
        <v>16.519602389617528</v>
      </c>
      <c r="E927" s="303"/>
      <c r="F927" s="302">
        <v>4.9262076662074934</v>
      </c>
      <c r="G927" s="302">
        <v>12.793600885774763</v>
      </c>
      <c r="H927" s="302">
        <f>SUM(F927:G927)</f>
        <v>17.719808551982258</v>
      </c>
      <c r="I927" s="303"/>
      <c r="J927" s="302">
        <v>6.0385433073915866</v>
      </c>
      <c r="K927" s="302">
        <v>16.197032150568717</v>
      </c>
      <c r="L927" s="302">
        <f>SUM(J927:K927)</f>
        <v>22.235575457960302</v>
      </c>
      <c r="M927" s="236"/>
      <c r="N927" s="236"/>
    </row>
    <row r="928" spans="1:14" x14ac:dyDescent="0.3">
      <c r="A928" s="237" t="str">
        <f>name!E$5</f>
        <v>Professional occupations</v>
      </c>
      <c r="B928" s="302">
        <v>20.438675235927462</v>
      </c>
      <c r="C928" s="302">
        <v>56.034322507550684</v>
      </c>
      <c r="D928" s="302">
        <f t="shared" ref="D928:D935" si="340">SUM(B928:C928)</f>
        <v>76.472997743478146</v>
      </c>
      <c r="E928" s="303"/>
      <c r="F928" s="302">
        <v>24.096042780494368</v>
      </c>
      <c r="G928" s="302">
        <v>60.402425818307151</v>
      </c>
      <c r="H928" s="302">
        <f t="shared" ref="H928:H935" si="341">SUM(F928:G928)</f>
        <v>84.498468598801523</v>
      </c>
      <c r="I928" s="303"/>
      <c r="J928" s="302">
        <v>33.538840694718282</v>
      </c>
      <c r="K928" s="302">
        <v>75.830323500927165</v>
      </c>
      <c r="L928" s="302">
        <f t="shared" ref="L928:L935" si="342">SUM(J928:K928)</f>
        <v>109.36916419564545</v>
      </c>
      <c r="M928" s="236"/>
      <c r="N928" s="236"/>
    </row>
    <row r="929" spans="1:14" x14ac:dyDescent="0.3">
      <c r="A929" s="237" t="str">
        <f>name!E$6</f>
        <v>Associate professional occupations</v>
      </c>
      <c r="B929" s="302">
        <v>6.775794409905866</v>
      </c>
      <c r="C929" s="302">
        <v>13.202918835631381</v>
      </c>
      <c r="D929" s="302">
        <f t="shared" si="340"/>
        <v>19.978713245537246</v>
      </c>
      <c r="E929" s="303"/>
      <c r="F929" s="302">
        <v>7.419482501436736</v>
      </c>
      <c r="G929" s="302">
        <v>14.244011195427534</v>
      </c>
      <c r="H929" s="302">
        <f t="shared" si="341"/>
        <v>21.663493696864272</v>
      </c>
      <c r="I929" s="303"/>
      <c r="J929" s="302">
        <v>9.4570621770340946</v>
      </c>
      <c r="K929" s="302">
        <v>15.309530635495285</v>
      </c>
      <c r="L929" s="302">
        <f t="shared" si="342"/>
        <v>24.766592812529382</v>
      </c>
      <c r="M929" s="236"/>
      <c r="N929" s="236"/>
    </row>
    <row r="930" spans="1:14" x14ac:dyDescent="0.3">
      <c r="A930" s="237" t="str">
        <f>name!E$7</f>
        <v>Administrative and secretarial occupations</v>
      </c>
      <c r="B930" s="302">
        <v>7.2973360372337739</v>
      </c>
      <c r="C930" s="302">
        <v>3.489370408381903</v>
      </c>
      <c r="D930" s="302">
        <f t="shared" si="340"/>
        <v>10.786706445615676</v>
      </c>
      <c r="E930" s="303"/>
      <c r="F930" s="302">
        <v>6.6107037618692042</v>
      </c>
      <c r="G930" s="302">
        <v>3.0619346755528793</v>
      </c>
      <c r="H930" s="302">
        <f t="shared" si="341"/>
        <v>9.6726384374220835</v>
      </c>
      <c r="I930" s="303"/>
      <c r="J930" s="302">
        <v>5.3818083027200334</v>
      </c>
      <c r="K930" s="302">
        <v>3.9718572769742786</v>
      </c>
      <c r="L930" s="302">
        <f t="shared" si="342"/>
        <v>9.3536655796943116</v>
      </c>
      <c r="M930" s="236"/>
      <c r="N930" s="236"/>
    </row>
    <row r="931" spans="1:14" x14ac:dyDescent="0.3">
      <c r="A931" s="237" t="str">
        <f>name!E$8</f>
        <v>Skilled trades occupations</v>
      </c>
      <c r="B931" s="302">
        <v>0.64486443313863762</v>
      </c>
      <c r="C931" s="302">
        <v>5.3592205744583881</v>
      </c>
      <c r="D931" s="302">
        <f t="shared" si="340"/>
        <v>6.004085007597026</v>
      </c>
      <c r="E931" s="303"/>
      <c r="F931" s="302">
        <v>0.61517382232834916</v>
      </c>
      <c r="G931" s="302">
        <v>3.6875914896920259</v>
      </c>
      <c r="H931" s="302">
        <f t="shared" si="341"/>
        <v>4.3027653120203748</v>
      </c>
      <c r="I931" s="303"/>
      <c r="J931" s="302">
        <v>1.0736071068790942</v>
      </c>
      <c r="K931" s="302">
        <v>4.1041788506170978</v>
      </c>
      <c r="L931" s="302">
        <f t="shared" si="342"/>
        <v>5.1777859574961917</v>
      </c>
      <c r="M931" s="236"/>
      <c r="N931" s="236"/>
    </row>
    <row r="932" spans="1:14" x14ac:dyDescent="0.3">
      <c r="A932" s="237" t="str">
        <f>name!E$9</f>
        <v>Caring, leisure and other service occupations</v>
      </c>
      <c r="B932" s="302">
        <v>2.6829404960843992</v>
      </c>
      <c r="C932" s="302">
        <v>1.3948614654185902</v>
      </c>
      <c r="D932" s="302">
        <f t="shared" si="340"/>
        <v>4.0778019615029892</v>
      </c>
      <c r="E932" s="303"/>
      <c r="F932" s="302">
        <v>2.5360405547267684</v>
      </c>
      <c r="G932" s="302">
        <v>1.2657384531526064</v>
      </c>
      <c r="H932" s="302">
        <f t="shared" si="341"/>
        <v>3.8017790078793747</v>
      </c>
      <c r="I932" s="303"/>
      <c r="J932" s="302">
        <v>4.127353321837103</v>
      </c>
      <c r="K932" s="302">
        <v>1.8522689862725068</v>
      </c>
      <c r="L932" s="302">
        <f t="shared" si="342"/>
        <v>5.9796223081096098</v>
      </c>
      <c r="M932" s="236"/>
      <c r="N932" s="236"/>
    </row>
    <row r="933" spans="1:14" x14ac:dyDescent="0.3">
      <c r="A933" s="237" t="str">
        <f>name!E$10</f>
        <v>Sales and customer service occupations</v>
      </c>
      <c r="B933" s="302">
        <v>1.837845730669853</v>
      </c>
      <c r="C933" s="302">
        <v>2.1882643937337427</v>
      </c>
      <c r="D933" s="302">
        <f t="shared" si="340"/>
        <v>4.0261101244035959</v>
      </c>
      <c r="E933" s="303"/>
      <c r="F933" s="302">
        <v>1.4770871659201203</v>
      </c>
      <c r="G933" s="302">
        <v>1.7460871703080829</v>
      </c>
      <c r="H933" s="302">
        <f t="shared" si="341"/>
        <v>3.2231743362282033</v>
      </c>
      <c r="I933" s="303"/>
      <c r="J933" s="302">
        <v>1.9942294585091322</v>
      </c>
      <c r="K933" s="302">
        <v>2.5325928621272351</v>
      </c>
      <c r="L933" s="302">
        <f t="shared" si="342"/>
        <v>4.5268223206363674</v>
      </c>
      <c r="M933" s="236"/>
      <c r="N933" s="236"/>
    </row>
    <row r="934" spans="1:14" x14ac:dyDescent="0.3">
      <c r="A934" s="237" t="str">
        <f>name!E$11</f>
        <v>Process, plant and machine operatives</v>
      </c>
      <c r="B934" s="302">
        <v>0.49907089087195483</v>
      </c>
      <c r="C934" s="302">
        <v>2.2902666628379311</v>
      </c>
      <c r="D934" s="302">
        <f t="shared" si="340"/>
        <v>2.7893375537098861</v>
      </c>
      <c r="E934" s="303"/>
      <c r="F934" s="302">
        <v>0.39822829380004682</v>
      </c>
      <c r="G934" s="302">
        <v>1.7698462717942864</v>
      </c>
      <c r="H934" s="302">
        <f t="shared" si="341"/>
        <v>2.1680745655943334</v>
      </c>
      <c r="I934" s="303"/>
      <c r="J934" s="302">
        <v>0.55409090498632851</v>
      </c>
      <c r="K934" s="302">
        <v>2.388644664098289</v>
      </c>
      <c r="L934" s="302">
        <f t="shared" si="342"/>
        <v>2.9427355690846175</v>
      </c>
      <c r="M934" s="236"/>
      <c r="N934" s="236"/>
    </row>
    <row r="935" spans="1:14" x14ac:dyDescent="0.3">
      <c r="A935" s="237" t="str">
        <f>name!E$12</f>
        <v>Elementary occupations</v>
      </c>
      <c r="B935" s="302">
        <v>2.2750523998004009</v>
      </c>
      <c r="C935" s="302">
        <v>1.7255931279052119</v>
      </c>
      <c r="D935" s="302">
        <f t="shared" si="340"/>
        <v>4.000645527705613</v>
      </c>
      <c r="E935" s="303"/>
      <c r="F935" s="302">
        <v>1.7180334532353949</v>
      </c>
      <c r="G935" s="302">
        <v>1.1767640401515662</v>
      </c>
      <c r="H935" s="302">
        <f t="shared" si="341"/>
        <v>2.8947974933869611</v>
      </c>
      <c r="I935" s="303"/>
      <c r="J935" s="302">
        <v>2.7854647267373851</v>
      </c>
      <c r="K935" s="302">
        <v>1.4065710726218967</v>
      </c>
      <c r="L935" s="302">
        <f t="shared" si="342"/>
        <v>4.1920357993592816</v>
      </c>
      <c r="M935" s="236"/>
      <c r="N935" s="236"/>
    </row>
    <row r="936" spans="1:14" x14ac:dyDescent="0.3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3">
      <c r="A937" s="244" t="s">
        <v>32</v>
      </c>
      <c r="B937" s="311">
        <f>SUM(B927:B935)</f>
        <v>46.728999999648359</v>
      </c>
      <c r="C937" s="311">
        <f t="shared" ref="C937:D937" si="343">SUM(C927:C935)</f>
        <v>97.926999999519353</v>
      </c>
      <c r="D937" s="311">
        <f t="shared" si="343"/>
        <v>144.6559999991677</v>
      </c>
      <c r="E937" s="311"/>
      <c r="F937" s="311">
        <f t="shared" ref="F937:H937" si="344">SUM(F927:F935)</f>
        <v>49.797000000018471</v>
      </c>
      <c r="G937" s="311">
        <f t="shared" si="344"/>
        <v>100.14800000016091</v>
      </c>
      <c r="H937" s="311">
        <f t="shared" si="344"/>
        <v>149.94500000017936</v>
      </c>
      <c r="I937" s="311"/>
      <c r="J937" s="311">
        <f t="shared" ref="J937:L937" si="345">SUM(J927:J935)</f>
        <v>64.951000000813039</v>
      </c>
      <c r="K937" s="311">
        <f t="shared" si="345"/>
        <v>123.59299999970247</v>
      </c>
      <c r="L937" s="311">
        <f t="shared" si="345"/>
        <v>188.5440000005155</v>
      </c>
      <c r="M937" s="236"/>
      <c r="N937" s="236"/>
    </row>
    <row r="938" spans="1:14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3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3">
      <c r="A941" s="241" t="str">
        <f>name!A58</f>
        <v>Advertising, etc</v>
      </c>
      <c r="B941" s="373">
        <f>B$6</f>
        <v>2015</v>
      </c>
      <c r="C941" s="373"/>
      <c r="D941" s="373"/>
      <c r="E941" s="253"/>
      <c r="F941" s="373">
        <f>F$6</f>
        <v>2020</v>
      </c>
      <c r="G941" s="373"/>
      <c r="H941" s="373"/>
      <c r="I941" s="253"/>
      <c r="J941" s="373">
        <f>J$6</f>
        <v>2035</v>
      </c>
      <c r="K941" s="373"/>
      <c r="L941" s="373"/>
      <c r="M941" s="236"/>
      <c r="N941" s="236"/>
    </row>
    <row r="942" spans="1:14" x14ac:dyDescent="0.3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3">
      <c r="A944" s="237" t="str">
        <f>name!E$4</f>
        <v>Managers, directors and senior officials</v>
      </c>
      <c r="B944" s="302">
        <v>16.11050481505513</v>
      </c>
      <c r="C944" s="302">
        <v>16.581988614799904</v>
      </c>
      <c r="D944" s="302">
        <f>SUM(B944:C944)</f>
        <v>32.692493429855034</v>
      </c>
      <c r="E944" s="303"/>
      <c r="F944" s="302">
        <v>16.21251205047367</v>
      </c>
      <c r="G944" s="302">
        <v>13.725828670719489</v>
      </c>
      <c r="H944" s="302">
        <f>SUM(F944:G944)</f>
        <v>29.938340721193157</v>
      </c>
      <c r="I944" s="303"/>
      <c r="J944" s="302">
        <v>21.541847231402873</v>
      </c>
      <c r="K944" s="302">
        <v>17.280957990489593</v>
      </c>
      <c r="L944" s="302">
        <f>SUM(J944:K944)</f>
        <v>38.822805221892466</v>
      </c>
      <c r="M944" s="236"/>
      <c r="N944" s="236"/>
    </row>
    <row r="945" spans="1:14" x14ac:dyDescent="0.3">
      <c r="A945" s="237" t="str">
        <f>name!E$5</f>
        <v>Professional occupations</v>
      </c>
      <c r="B945" s="302">
        <v>45.139207043823589</v>
      </c>
      <c r="C945" s="302">
        <v>51.912301358200288</v>
      </c>
      <c r="D945" s="302">
        <f t="shared" ref="D945:D952" si="346">SUM(B945:C945)</f>
        <v>97.05150840202387</v>
      </c>
      <c r="E945" s="303"/>
      <c r="F945" s="302">
        <v>49.849802163645116</v>
      </c>
      <c r="G945" s="302">
        <v>44.709164869130689</v>
      </c>
      <c r="H945" s="302">
        <f t="shared" ref="H945:H952" si="347">SUM(F945:G945)</f>
        <v>94.558967032775797</v>
      </c>
      <c r="I945" s="303"/>
      <c r="J945" s="302">
        <v>71.889700362944467</v>
      </c>
      <c r="K945" s="302">
        <v>56.158881873303528</v>
      </c>
      <c r="L945" s="302">
        <f t="shared" ref="L945:L952" si="348">SUM(J945:K945)</f>
        <v>128.048582236248</v>
      </c>
      <c r="M945" s="236"/>
      <c r="N945" s="236"/>
    </row>
    <row r="946" spans="1:14" x14ac:dyDescent="0.3">
      <c r="A946" s="237" t="str">
        <f>name!E$6</f>
        <v>Associate professional occupations</v>
      </c>
      <c r="B946" s="302">
        <v>30.564580013040686</v>
      </c>
      <c r="C946" s="302">
        <v>21.058036361767776</v>
      </c>
      <c r="D946" s="302">
        <f t="shared" si="346"/>
        <v>51.622616374808459</v>
      </c>
      <c r="E946" s="303"/>
      <c r="F946" s="302">
        <v>27.957751863809456</v>
      </c>
      <c r="G946" s="302">
        <v>17.419064452396583</v>
      </c>
      <c r="H946" s="302">
        <f t="shared" si="347"/>
        <v>45.376816316206039</v>
      </c>
      <c r="I946" s="303"/>
      <c r="J946" s="302">
        <v>37.066951822500833</v>
      </c>
      <c r="K946" s="302">
        <v>19.170257354872575</v>
      </c>
      <c r="L946" s="302">
        <f t="shared" si="348"/>
        <v>56.237209177373408</v>
      </c>
      <c r="M946" s="236"/>
      <c r="N946" s="236"/>
    </row>
    <row r="947" spans="1:14" x14ac:dyDescent="0.3">
      <c r="A947" s="237" t="str">
        <f>name!E$7</f>
        <v>Administrative and secretarial occupations</v>
      </c>
      <c r="B947" s="302">
        <v>43.6366759685177</v>
      </c>
      <c r="C947" s="302">
        <v>7.3981574461384563</v>
      </c>
      <c r="D947" s="302">
        <f t="shared" si="346"/>
        <v>51.034833414656156</v>
      </c>
      <c r="E947" s="303"/>
      <c r="F947" s="302">
        <v>31.537225417363786</v>
      </c>
      <c r="G947" s="302">
        <v>4.8068554073441314</v>
      </c>
      <c r="H947" s="302">
        <f t="shared" si="347"/>
        <v>36.344080824707916</v>
      </c>
      <c r="I947" s="303"/>
      <c r="J947" s="302">
        <v>27.445635707829751</v>
      </c>
      <c r="K947" s="302">
        <v>5.7586569175940694</v>
      </c>
      <c r="L947" s="302">
        <f t="shared" si="348"/>
        <v>33.204292625423818</v>
      </c>
      <c r="M947" s="236"/>
      <c r="N947" s="236"/>
    </row>
    <row r="948" spans="1:14" x14ac:dyDescent="0.3">
      <c r="A948" s="237" t="str">
        <f>name!E$8</f>
        <v>Skilled trades occupations</v>
      </c>
      <c r="B948" s="302">
        <v>1.2458108262894545</v>
      </c>
      <c r="C948" s="302">
        <v>4.3841651355556772</v>
      </c>
      <c r="D948" s="302">
        <f t="shared" si="346"/>
        <v>5.6299759618451315</v>
      </c>
      <c r="E948" s="303"/>
      <c r="F948" s="302">
        <v>1.0553602889126363</v>
      </c>
      <c r="G948" s="302">
        <v>2.2706814695406403</v>
      </c>
      <c r="H948" s="302">
        <f t="shared" si="347"/>
        <v>3.3260417584532767</v>
      </c>
      <c r="I948" s="303"/>
      <c r="J948" s="302">
        <v>2.526775285230531</v>
      </c>
      <c r="K948" s="302">
        <v>2.4051715075163376</v>
      </c>
      <c r="L948" s="302">
        <f t="shared" si="348"/>
        <v>4.931946792746869</v>
      </c>
      <c r="M948" s="236"/>
      <c r="N948" s="236"/>
    </row>
    <row r="949" spans="1:14" x14ac:dyDescent="0.3">
      <c r="A949" s="237" t="str">
        <f>name!E$9</f>
        <v>Caring, leisure and other service occupations</v>
      </c>
      <c r="B949" s="302">
        <v>0.78194578692726602</v>
      </c>
      <c r="C949" s="302">
        <v>0.51475601873098709</v>
      </c>
      <c r="D949" s="302">
        <f t="shared" si="346"/>
        <v>1.2967018056582531</v>
      </c>
      <c r="E949" s="303"/>
      <c r="F949" s="302">
        <v>0.5788480267591688</v>
      </c>
      <c r="G949" s="302">
        <v>0.37356450741173802</v>
      </c>
      <c r="H949" s="302">
        <f t="shared" si="347"/>
        <v>0.95241253417090688</v>
      </c>
      <c r="I949" s="303"/>
      <c r="J949" s="302">
        <v>0.85604700481519858</v>
      </c>
      <c r="K949" s="302">
        <v>0.78035135022593605</v>
      </c>
      <c r="L949" s="302">
        <f t="shared" si="348"/>
        <v>1.6363983550411345</v>
      </c>
      <c r="M949" s="236"/>
      <c r="N949" s="236"/>
    </row>
    <row r="950" spans="1:14" x14ac:dyDescent="0.3">
      <c r="A950" s="237" t="str">
        <f>name!E$10</f>
        <v>Sales and customer service occupations</v>
      </c>
      <c r="B950" s="302">
        <v>7.6684209685474425</v>
      </c>
      <c r="C950" s="302">
        <v>2.4126493436133973</v>
      </c>
      <c r="D950" s="302">
        <f t="shared" si="346"/>
        <v>10.08107031216084</v>
      </c>
      <c r="E950" s="303"/>
      <c r="F950" s="302">
        <v>5.1814905527939201</v>
      </c>
      <c r="G950" s="302">
        <v>1.4841520855714303</v>
      </c>
      <c r="H950" s="302">
        <f t="shared" si="347"/>
        <v>6.66564263836535</v>
      </c>
      <c r="I950" s="303"/>
      <c r="J950" s="302">
        <v>5.935196357370307</v>
      </c>
      <c r="K950" s="302">
        <v>2.1188338991285249</v>
      </c>
      <c r="L950" s="302">
        <f t="shared" si="348"/>
        <v>8.054030256498832</v>
      </c>
      <c r="M950" s="236"/>
      <c r="N950" s="236"/>
    </row>
    <row r="951" spans="1:14" x14ac:dyDescent="0.3">
      <c r="A951" s="237" t="str">
        <f>name!E$11</f>
        <v>Process, plant and machine operatives</v>
      </c>
      <c r="B951" s="302">
        <v>0.75846778025351747</v>
      </c>
      <c r="C951" s="302">
        <v>1.5284895087405193</v>
      </c>
      <c r="D951" s="302">
        <f t="shared" si="346"/>
        <v>2.2869572889940368</v>
      </c>
      <c r="E951" s="303"/>
      <c r="F951" s="302">
        <v>0.50598290924752332</v>
      </c>
      <c r="G951" s="302">
        <v>0.81601372812689588</v>
      </c>
      <c r="H951" s="302">
        <f t="shared" si="347"/>
        <v>1.3219966373744192</v>
      </c>
      <c r="I951" s="303"/>
      <c r="J951" s="302">
        <v>1.1458107277771334</v>
      </c>
      <c r="K951" s="302">
        <v>1.067273229601527</v>
      </c>
      <c r="L951" s="302">
        <f t="shared" si="348"/>
        <v>2.2130839573786605</v>
      </c>
      <c r="M951" s="236"/>
      <c r="N951" s="236"/>
    </row>
    <row r="952" spans="1:14" x14ac:dyDescent="0.3">
      <c r="A952" s="237" t="str">
        <f>name!E$12</f>
        <v>Elementary occupations</v>
      </c>
      <c r="B952" s="302">
        <v>3.2193867957566495</v>
      </c>
      <c r="C952" s="302">
        <v>1.1664562109710364</v>
      </c>
      <c r="D952" s="302">
        <f t="shared" si="346"/>
        <v>4.3858430067276863</v>
      </c>
      <c r="E952" s="303"/>
      <c r="F952" s="302">
        <v>1.9300267260113886</v>
      </c>
      <c r="G952" s="302">
        <v>0.62067481050202178</v>
      </c>
      <c r="H952" s="302">
        <f t="shared" si="347"/>
        <v>2.5507015365134103</v>
      </c>
      <c r="I952" s="303"/>
      <c r="J952" s="302">
        <v>2.5740355010598139</v>
      </c>
      <c r="K952" s="302">
        <v>0.6756158788888863</v>
      </c>
      <c r="L952" s="302">
        <f t="shared" si="348"/>
        <v>3.2496513799487001</v>
      </c>
      <c r="M952" s="236"/>
      <c r="N952" s="236"/>
    </row>
    <row r="953" spans="1:14" x14ac:dyDescent="0.3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3">
      <c r="A954" s="244" t="s">
        <v>32</v>
      </c>
      <c r="B954" s="311">
        <f>SUM(B944:B952)</f>
        <v>149.12499999821142</v>
      </c>
      <c r="C954" s="311">
        <f t="shared" ref="C954:D954" si="349">SUM(C944:C952)</f>
        <v>106.95699999851804</v>
      </c>
      <c r="D954" s="311">
        <f t="shared" si="349"/>
        <v>256.08199999672945</v>
      </c>
      <c r="E954" s="311"/>
      <c r="F954" s="311">
        <f t="shared" ref="F954:H954" si="350">SUM(F944:F952)</f>
        <v>134.80899999901669</v>
      </c>
      <c r="G954" s="311">
        <f t="shared" si="350"/>
        <v>86.22600000074361</v>
      </c>
      <c r="H954" s="311">
        <f t="shared" si="350"/>
        <v>221.03499999976023</v>
      </c>
      <c r="I954" s="311"/>
      <c r="J954" s="311">
        <f t="shared" ref="J954:L954" si="351">SUM(J944:J952)</f>
        <v>170.98200000093092</v>
      </c>
      <c r="K954" s="311">
        <f t="shared" si="351"/>
        <v>105.41600000162099</v>
      </c>
      <c r="L954" s="311">
        <f t="shared" si="351"/>
        <v>276.39800000255195</v>
      </c>
      <c r="M954" s="236"/>
      <c r="N954" s="236"/>
    </row>
    <row r="955" spans="1:14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3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3">
      <c r="A958" s="241" t="str">
        <f>name!A59</f>
        <v>Other professional</v>
      </c>
      <c r="B958" s="373">
        <f>B$6</f>
        <v>2015</v>
      </c>
      <c r="C958" s="373"/>
      <c r="D958" s="373"/>
      <c r="E958" s="253"/>
      <c r="F958" s="373">
        <f>F$6</f>
        <v>2020</v>
      </c>
      <c r="G958" s="373"/>
      <c r="H958" s="373"/>
      <c r="I958" s="253"/>
      <c r="J958" s="373">
        <f>J$6</f>
        <v>2035</v>
      </c>
      <c r="K958" s="373"/>
      <c r="L958" s="373"/>
      <c r="M958" s="236"/>
      <c r="N958" s="236"/>
    </row>
    <row r="959" spans="1:14" x14ac:dyDescent="0.3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3">
      <c r="A961" s="237" t="str">
        <f>name!E$4</f>
        <v>Managers, directors and senior officials</v>
      </c>
      <c r="B961" s="302">
        <v>8.0088492417224799</v>
      </c>
      <c r="C961" s="302">
        <v>16.960145900343925</v>
      </c>
      <c r="D961" s="302">
        <f>SUM(B961:C961)</f>
        <v>24.968995142066404</v>
      </c>
      <c r="E961" s="303"/>
      <c r="F961" s="302">
        <v>11.600208085758259</v>
      </c>
      <c r="G961" s="302">
        <v>17.974396860469462</v>
      </c>
      <c r="H961" s="302">
        <f>SUM(F961:G961)</f>
        <v>29.574604946227723</v>
      </c>
      <c r="I961" s="303"/>
      <c r="J961" s="302">
        <v>16.172412579194475</v>
      </c>
      <c r="K961" s="302">
        <v>23.234433570823136</v>
      </c>
      <c r="L961" s="302">
        <f>SUM(J961:K961)</f>
        <v>39.406846150017614</v>
      </c>
      <c r="M961" s="236"/>
      <c r="N961" s="236"/>
    </row>
    <row r="962" spans="1:14" x14ac:dyDescent="0.3">
      <c r="A962" s="237" t="str">
        <f>name!E$5</f>
        <v>Professional occupations</v>
      </c>
      <c r="B962" s="302">
        <v>17.228404573629735</v>
      </c>
      <c r="C962" s="302">
        <v>42.84669487053192</v>
      </c>
      <c r="D962" s="302">
        <f t="shared" ref="D962:D969" si="352">SUM(B962:C962)</f>
        <v>60.075099444161651</v>
      </c>
      <c r="E962" s="303"/>
      <c r="F962" s="302">
        <v>26.604436051723617</v>
      </c>
      <c r="G962" s="302">
        <v>48.488755266537261</v>
      </c>
      <c r="H962" s="302">
        <f t="shared" ref="H962:H969" si="353">SUM(F962:G962)</f>
        <v>75.093191318260878</v>
      </c>
      <c r="I962" s="303"/>
      <c r="J962" s="302">
        <v>40.2663235687087</v>
      </c>
      <c r="K962" s="302">
        <v>62.815048695095001</v>
      </c>
      <c r="L962" s="302">
        <f t="shared" ref="L962:L969" si="354">SUM(J962:K962)</f>
        <v>103.0813722638037</v>
      </c>
      <c r="M962" s="236"/>
      <c r="N962" s="236"/>
    </row>
    <row r="963" spans="1:14" x14ac:dyDescent="0.3">
      <c r="A963" s="237" t="str">
        <f>name!E$6</f>
        <v>Associate professional occupations</v>
      </c>
      <c r="B963" s="302">
        <v>14.838408553094666</v>
      </c>
      <c r="C963" s="302">
        <v>22.790480175160141</v>
      </c>
      <c r="D963" s="302">
        <f t="shared" si="352"/>
        <v>37.628888728254807</v>
      </c>
      <c r="E963" s="303"/>
      <c r="F963" s="302">
        <v>19.235737625154464</v>
      </c>
      <c r="G963" s="302">
        <v>24.535785770007294</v>
      </c>
      <c r="H963" s="302">
        <f t="shared" si="353"/>
        <v>43.771523395161758</v>
      </c>
      <c r="I963" s="303"/>
      <c r="J963" s="302">
        <v>26.451766068322204</v>
      </c>
      <c r="K963" s="302">
        <v>26.514601298915718</v>
      </c>
      <c r="L963" s="302">
        <f t="shared" si="354"/>
        <v>52.966367367237922</v>
      </c>
      <c r="M963" s="236"/>
      <c r="N963" s="236"/>
    </row>
    <row r="964" spans="1:14" x14ac:dyDescent="0.3">
      <c r="A964" s="237" t="str">
        <f>name!E$7</f>
        <v>Administrative and secretarial occupations</v>
      </c>
      <c r="B964" s="302">
        <v>21.178624380235423</v>
      </c>
      <c r="C964" s="302">
        <v>7.0673935173517224</v>
      </c>
      <c r="D964" s="302">
        <f t="shared" si="352"/>
        <v>28.246017897587144</v>
      </c>
      <c r="E964" s="303"/>
      <c r="F964" s="302">
        <v>25.311700756605838</v>
      </c>
      <c r="G964" s="302">
        <v>7.3176608950211754</v>
      </c>
      <c r="H964" s="302">
        <f t="shared" si="353"/>
        <v>32.629361651627015</v>
      </c>
      <c r="I964" s="303"/>
      <c r="J964" s="302">
        <v>24.609074362314239</v>
      </c>
      <c r="K964" s="302">
        <v>9.3107128653704319</v>
      </c>
      <c r="L964" s="302">
        <f t="shared" si="354"/>
        <v>33.919787227684672</v>
      </c>
      <c r="M964" s="236"/>
      <c r="N964" s="236"/>
    </row>
    <row r="965" spans="1:14" x14ac:dyDescent="0.3">
      <c r="A965" s="237" t="str">
        <f>name!E$8</f>
        <v>Skilled trades occupations</v>
      </c>
      <c r="B965" s="302">
        <v>0.89595448773562425</v>
      </c>
      <c r="C965" s="302">
        <v>6.0418111727673285</v>
      </c>
      <c r="D965" s="302">
        <f t="shared" si="352"/>
        <v>6.9377656605029525</v>
      </c>
      <c r="E965" s="303"/>
      <c r="F965" s="302">
        <v>1.1654456438153069</v>
      </c>
      <c r="G965" s="302">
        <v>4.4357376963531792</v>
      </c>
      <c r="H965" s="302">
        <f t="shared" si="353"/>
        <v>5.6011833401684861</v>
      </c>
      <c r="I965" s="303"/>
      <c r="J965" s="302">
        <v>2.3629711241708344</v>
      </c>
      <c r="K965" s="302">
        <v>4.6720508712060713</v>
      </c>
      <c r="L965" s="302">
        <f t="shared" si="354"/>
        <v>7.0350219953769058</v>
      </c>
      <c r="M965" s="236"/>
      <c r="N965" s="236"/>
    </row>
    <row r="966" spans="1:14" x14ac:dyDescent="0.3">
      <c r="A966" s="237" t="str">
        <f>name!E$9</f>
        <v>Caring, leisure and other service occupations</v>
      </c>
      <c r="B966" s="302">
        <v>4.6112743584024081</v>
      </c>
      <c r="C966" s="302">
        <v>1.8737548662004309</v>
      </c>
      <c r="D966" s="302">
        <f t="shared" si="352"/>
        <v>6.4850292246028385</v>
      </c>
      <c r="E966" s="303"/>
      <c r="F966" s="302">
        <v>5.5293186504724678</v>
      </c>
      <c r="G966" s="302">
        <v>1.8824972655513876</v>
      </c>
      <c r="H966" s="302">
        <f t="shared" si="353"/>
        <v>7.4118159160238557</v>
      </c>
      <c r="I966" s="303"/>
      <c r="J966" s="302">
        <v>6.8662114386165038</v>
      </c>
      <c r="K966" s="302">
        <v>2.9591085558239572</v>
      </c>
      <c r="L966" s="302">
        <f t="shared" si="354"/>
        <v>9.825319994440461</v>
      </c>
      <c r="M966" s="236"/>
      <c r="N966" s="236"/>
    </row>
    <row r="967" spans="1:14" x14ac:dyDescent="0.3">
      <c r="A967" s="237" t="str">
        <f>name!E$10</f>
        <v>Sales and customer service occupations</v>
      </c>
      <c r="B967" s="302">
        <v>4.8981330410261856</v>
      </c>
      <c r="C967" s="302">
        <v>4.2602518814604347</v>
      </c>
      <c r="D967" s="302">
        <f t="shared" si="352"/>
        <v>9.1583849224866203</v>
      </c>
      <c r="E967" s="303"/>
      <c r="F967" s="302">
        <v>5.5654911182221349</v>
      </c>
      <c r="G967" s="302">
        <v>3.768096925280751</v>
      </c>
      <c r="H967" s="302">
        <f t="shared" si="353"/>
        <v>9.3335880435028855</v>
      </c>
      <c r="I967" s="303"/>
      <c r="J967" s="302">
        <v>7.3913107085727949</v>
      </c>
      <c r="K967" s="302">
        <v>5.1359222528424793</v>
      </c>
      <c r="L967" s="302">
        <f t="shared" si="354"/>
        <v>12.527232961415274</v>
      </c>
      <c r="M967" s="236"/>
      <c r="N967" s="236"/>
    </row>
    <row r="968" spans="1:14" x14ac:dyDescent="0.3">
      <c r="A968" s="237" t="str">
        <f>name!E$11</f>
        <v>Process, plant and machine operatives</v>
      </c>
      <c r="B968" s="302">
        <v>0.66173820416517737</v>
      </c>
      <c r="C968" s="302">
        <v>3.0569386038424691</v>
      </c>
      <c r="D968" s="302">
        <f t="shared" si="352"/>
        <v>3.7186768080076464</v>
      </c>
      <c r="E968" s="303"/>
      <c r="F968" s="302">
        <v>0.65359512686622612</v>
      </c>
      <c r="G968" s="302">
        <v>2.5093756644020382</v>
      </c>
      <c r="H968" s="302">
        <f t="shared" si="353"/>
        <v>3.1629707912682643</v>
      </c>
      <c r="I968" s="303"/>
      <c r="J968" s="302">
        <v>1.2222062071762307</v>
      </c>
      <c r="K968" s="302">
        <v>2.8820437748931198</v>
      </c>
      <c r="L968" s="302">
        <f t="shared" si="354"/>
        <v>4.1042499820693505</v>
      </c>
      <c r="M968" s="236"/>
      <c r="N968" s="236"/>
    </row>
    <row r="969" spans="1:14" x14ac:dyDescent="0.3">
      <c r="A969" s="237" t="str">
        <f>name!E$12</f>
        <v>Elementary occupations</v>
      </c>
      <c r="B969" s="302">
        <v>15.033613159673074</v>
      </c>
      <c r="C969" s="302">
        <v>15.295529011820886</v>
      </c>
      <c r="D969" s="302">
        <f t="shared" si="352"/>
        <v>30.32914217149396</v>
      </c>
      <c r="E969" s="303"/>
      <c r="F969" s="302">
        <v>13.787066940411913</v>
      </c>
      <c r="G969" s="302">
        <v>13.172693656797831</v>
      </c>
      <c r="H969" s="302">
        <f t="shared" si="353"/>
        <v>26.959760597209744</v>
      </c>
      <c r="I969" s="303"/>
      <c r="J969" s="302">
        <v>14.381723943653604</v>
      </c>
      <c r="K969" s="302">
        <v>14.757078116407486</v>
      </c>
      <c r="L969" s="302">
        <f t="shared" si="354"/>
        <v>29.138802060061089</v>
      </c>
      <c r="M969" s="236"/>
      <c r="N969" s="236"/>
    </row>
    <row r="970" spans="1:14" x14ac:dyDescent="0.3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3">
      <c r="A971" s="244" t="s">
        <v>32</v>
      </c>
      <c r="B971" s="311">
        <f>SUM(B961:B969)</f>
        <v>87.354999999684765</v>
      </c>
      <c r="C971" s="311">
        <f t="shared" ref="C971:D971" si="355">SUM(C961:C969)</f>
        <v>120.19299999947924</v>
      </c>
      <c r="D971" s="311">
        <f t="shared" si="355"/>
        <v>207.54799999916403</v>
      </c>
      <c r="E971" s="311"/>
      <c r="F971" s="311">
        <f t="shared" ref="F971:H971" si="356">SUM(F961:F969)</f>
        <v>109.45299999903023</v>
      </c>
      <c r="G971" s="311">
        <f t="shared" si="356"/>
        <v>124.08500000042039</v>
      </c>
      <c r="H971" s="311">
        <f t="shared" si="356"/>
        <v>233.53799999945062</v>
      </c>
      <c r="I971" s="311"/>
      <c r="J971" s="311">
        <f t="shared" ref="J971:L971" si="357">SUM(J961:J969)</f>
        <v>139.72400000072957</v>
      </c>
      <c r="K971" s="311">
        <f t="shared" si="357"/>
        <v>152.28100000137741</v>
      </c>
      <c r="L971" s="311">
        <f t="shared" si="357"/>
        <v>292.00500000210695</v>
      </c>
      <c r="M971" s="236"/>
      <c r="N971" s="236"/>
    </row>
    <row r="972" spans="1:14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3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3">
      <c r="A975" s="241" t="str">
        <f>name!A60</f>
        <v>Veterinary</v>
      </c>
      <c r="B975" s="373">
        <f>B$6</f>
        <v>2015</v>
      </c>
      <c r="C975" s="373"/>
      <c r="D975" s="373"/>
      <c r="E975" s="253"/>
      <c r="F975" s="373">
        <f>F$6</f>
        <v>2020</v>
      </c>
      <c r="G975" s="373"/>
      <c r="H975" s="373"/>
      <c r="I975" s="253"/>
      <c r="J975" s="373">
        <f>J$6</f>
        <v>2035</v>
      </c>
      <c r="K975" s="373"/>
      <c r="L975" s="373"/>
      <c r="M975" s="236"/>
      <c r="N975" s="236"/>
    </row>
    <row r="976" spans="1:14" x14ac:dyDescent="0.3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3">
      <c r="A978" s="237" t="str">
        <f>name!E$4</f>
        <v>Managers, directors and senior officials</v>
      </c>
      <c r="B978" s="302">
        <v>1.6918630685924032</v>
      </c>
      <c r="C978" s="302">
        <v>1.9199622707810551</v>
      </c>
      <c r="D978" s="302">
        <f>SUM(B978:C978)</f>
        <v>3.6118253393734583</v>
      </c>
      <c r="E978" s="303"/>
      <c r="F978" s="302">
        <v>2.8129580312242322</v>
      </c>
      <c r="G978" s="302">
        <v>2.6336324826246762</v>
      </c>
      <c r="H978" s="302">
        <f>SUM(F978:G978)</f>
        <v>5.4465905138489088</v>
      </c>
      <c r="I978" s="303"/>
      <c r="J978" s="302">
        <v>4.0596056670509819</v>
      </c>
      <c r="K978" s="302">
        <v>2.9007451235534041</v>
      </c>
      <c r="L978" s="302">
        <f>SUM(J978:K978)</f>
        <v>6.9603507906043856</v>
      </c>
      <c r="M978" s="236"/>
      <c r="N978" s="236"/>
    </row>
    <row r="979" spans="1:14" x14ac:dyDescent="0.3">
      <c r="A979" s="237" t="str">
        <f>name!E$5</f>
        <v>Professional occupations</v>
      </c>
      <c r="B979" s="302">
        <v>12.122141478204146</v>
      </c>
      <c r="C979" s="302">
        <v>9.3688852752645477</v>
      </c>
      <c r="D979" s="302">
        <f t="shared" ref="D979:D986" si="358">SUM(B979:C979)</f>
        <v>21.491026753468695</v>
      </c>
      <c r="E979" s="303"/>
      <c r="F979" s="302">
        <v>20.525379252846616</v>
      </c>
      <c r="G979" s="302">
        <v>13.550535404554415</v>
      </c>
      <c r="H979" s="302">
        <f t="shared" ref="H979:H986" si="359">SUM(F979:G979)</f>
        <v>34.075914657401029</v>
      </c>
      <c r="I979" s="303"/>
      <c r="J979" s="302">
        <v>29.624784635605277</v>
      </c>
      <c r="K979" s="302">
        <v>16.399139632738571</v>
      </c>
      <c r="L979" s="302">
        <f t="shared" ref="L979:L986" si="360">SUM(J979:K979)</f>
        <v>46.023924268343848</v>
      </c>
      <c r="M979" s="236"/>
      <c r="N979" s="236"/>
    </row>
    <row r="980" spans="1:14" x14ac:dyDescent="0.3">
      <c r="A980" s="237" t="str">
        <f>name!E$6</f>
        <v>Associate professional occupations</v>
      </c>
      <c r="B980" s="302">
        <v>5.8539354923001072</v>
      </c>
      <c r="C980" s="302">
        <v>3.8766964338992405</v>
      </c>
      <c r="D980" s="302">
        <f t="shared" si="358"/>
        <v>9.7306319261993472</v>
      </c>
      <c r="E980" s="303"/>
      <c r="F980" s="302">
        <v>9.0214785539012183</v>
      </c>
      <c r="G980" s="302">
        <v>4.9435482228193868</v>
      </c>
      <c r="H980" s="302">
        <f t="shared" si="359"/>
        <v>13.965026776720606</v>
      </c>
      <c r="I980" s="303"/>
      <c r="J980" s="302">
        <v>12.540543811763117</v>
      </c>
      <c r="K980" s="302">
        <v>5.3860880154282764</v>
      </c>
      <c r="L980" s="302">
        <f t="shared" si="360"/>
        <v>17.926631827191393</v>
      </c>
      <c r="M980" s="236"/>
      <c r="N980" s="236"/>
    </row>
    <row r="981" spans="1:14" x14ac:dyDescent="0.3">
      <c r="A981" s="237" t="str">
        <f>name!E$7</f>
        <v>Administrative and secretarial occupations</v>
      </c>
      <c r="B981" s="302">
        <v>3.9541511593922314</v>
      </c>
      <c r="C981" s="302">
        <v>1.5087019973805103</v>
      </c>
      <c r="D981" s="302">
        <f t="shared" si="358"/>
        <v>5.4628531567727414</v>
      </c>
      <c r="E981" s="303"/>
      <c r="F981" s="302">
        <v>5.4589235039377311</v>
      </c>
      <c r="G981" s="302">
        <v>1.8113768292029457</v>
      </c>
      <c r="H981" s="302">
        <f t="shared" si="359"/>
        <v>7.2703003331406766</v>
      </c>
      <c r="I981" s="303"/>
      <c r="J981" s="302">
        <v>4.0977548193645488</v>
      </c>
      <c r="K981" s="302">
        <v>1.9694880309016378</v>
      </c>
      <c r="L981" s="302">
        <f t="shared" si="360"/>
        <v>6.0672428502661866</v>
      </c>
      <c r="M981" s="236"/>
      <c r="N981" s="236"/>
    </row>
    <row r="982" spans="1:14" x14ac:dyDescent="0.3">
      <c r="A982" s="237" t="str">
        <f>name!E$8</f>
        <v>Skilled trades occupations</v>
      </c>
      <c r="B982" s="302">
        <v>0.2936776074985849</v>
      </c>
      <c r="C982" s="302">
        <v>0.84038780718950601</v>
      </c>
      <c r="D982" s="302">
        <f t="shared" si="358"/>
        <v>1.1340654146880909</v>
      </c>
      <c r="E982" s="303"/>
      <c r="F982" s="302">
        <v>0.36948719546552594</v>
      </c>
      <c r="G982" s="302">
        <v>0.81445935312034257</v>
      </c>
      <c r="H982" s="302">
        <f t="shared" si="359"/>
        <v>1.1839465485858685</v>
      </c>
      <c r="I982" s="303"/>
      <c r="J982" s="302">
        <v>0.33649420123242424</v>
      </c>
      <c r="K982" s="302">
        <v>0.74391430054820795</v>
      </c>
      <c r="L982" s="302">
        <f t="shared" si="360"/>
        <v>1.0804085017806322</v>
      </c>
      <c r="M982" s="236"/>
      <c r="N982" s="236"/>
    </row>
    <row r="983" spans="1:14" x14ac:dyDescent="0.3">
      <c r="A983" s="237" t="str">
        <f>name!E$9</f>
        <v>Caring, leisure and other service occupations</v>
      </c>
      <c r="B983" s="302">
        <v>17.746240638258122</v>
      </c>
      <c r="C983" s="302">
        <v>6.0348660008128148</v>
      </c>
      <c r="D983" s="302">
        <f t="shared" si="358"/>
        <v>23.781106639070938</v>
      </c>
      <c r="E983" s="303"/>
      <c r="F983" s="302">
        <v>25.451923277170728</v>
      </c>
      <c r="G983" s="302">
        <v>8.0824897356731071</v>
      </c>
      <c r="H983" s="302">
        <f t="shared" si="359"/>
        <v>33.534413012843835</v>
      </c>
      <c r="I983" s="303"/>
      <c r="J983" s="302">
        <v>33.673903300876717</v>
      </c>
      <c r="K983" s="302">
        <v>13.501330521781085</v>
      </c>
      <c r="L983" s="302">
        <f t="shared" si="360"/>
        <v>47.175233822657802</v>
      </c>
      <c r="M983" s="236"/>
      <c r="N983" s="236"/>
    </row>
    <row r="984" spans="1:14" x14ac:dyDescent="0.3">
      <c r="A984" s="237" t="str">
        <f>name!E$10</f>
        <v>Sales and customer service occupations</v>
      </c>
      <c r="B984" s="302">
        <v>0.57765039799718576</v>
      </c>
      <c r="C984" s="302">
        <v>0.33735224198985725</v>
      </c>
      <c r="D984" s="302">
        <f t="shared" si="358"/>
        <v>0.91500263998704301</v>
      </c>
      <c r="E984" s="303"/>
      <c r="F984" s="302">
        <v>0.74205931531444635</v>
      </c>
      <c r="G984" s="302">
        <v>0.37314801737016884</v>
      </c>
      <c r="H984" s="302">
        <f t="shared" si="359"/>
        <v>1.1152073326846152</v>
      </c>
      <c r="I984" s="303"/>
      <c r="J984" s="302">
        <v>0.98748742003166712</v>
      </c>
      <c r="K984" s="302">
        <v>0.42080164796058706</v>
      </c>
      <c r="L984" s="302">
        <f t="shared" si="360"/>
        <v>1.4082890679922542</v>
      </c>
      <c r="M984" s="236"/>
      <c r="N984" s="236"/>
    </row>
    <row r="985" spans="1:14" x14ac:dyDescent="0.3">
      <c r="A985" s="237" t="str">
        <f>name!E$11</f>
        <v>Process, plant and machine operatives</v>
      </c>
      <c r="B985" s="302">
        <v>8.0837318423340812E-2</v>
      </c>
      <c r="C985" s="302">
        <v>0.40609094063899864</v>
      </c>
      <c r="D985" s="302">
        <f t="shared" si="358"/>
        <v>0.48692825906233944</v>
      </c>
      <c r="E985" s="303"/>
      <c r="F985" s="302">
        <v>9.1471820640728813E-2</v>
      </c>
      <c r="G985" s="302">
        <v>0.43525823070623693</v>
      </c>
      <c r="H985" s="302">
        <f t="shared" si="359"/>
        <v>0.52673005134696571</v>
      </c>
      <c r="I985" s="303"/>
      <c r="J985" s="302">
        <v>9.3387339442836836E-2</v>
      </c>
      <c r="K985" s="302">
        <v>0.39622752102095271</v>
      </c>
      <c r="L985" s="302">
        <f t="shared" si="360"/>
        <v>0.48961486046378955</v>
      </c>
      <c r="M985" s="236"/>
      <c r="N985" s="236"/>
    </row>
    <row r="986" spans="1:14" x14ac:dyDescent="0.3">
      <c r="A986" s="237" t="str">
        <f>name!E$12</f>
        <v>Elementary occupations</v>
      </c>
      <c r="B986" s="302">
        <v>0.83550283784233292</v>
      </c>
      <c r="C986" s="302">
        <v>1.1690570320794582</v>
      </c>
      <c r="D986" s="302">
        <f t="shared" si="358"/>
        <v>2.004559869921791</v>
      </c>
      <c r="E986" s="303"/>
      <c r="F986" s="302">
        <v>0.86831905041148005</v>
      </c>
      <c r="G986" s="302">
        <v>1.1485517238981411</v>
      </c>
      <c r="H986" s="302">
        <f t="shared" si="359"/>
        <v>2.0168707743096213</v>
      </c>
      <c r="I986" s="303"/>
      <c r="J986" s="302">
        <v>0.71403880471406767</v>
      </c>
      <c r="K986" s="302">
        <v>1.1542652062567456</v>
      </c>
      <c r="L986" s="302">
        <f t="shared" si="360"/>
        <v>1.8683040109708133</v>
      </c>
      <c r="M986" s="236"/>
      <c r="N986" s="236"/>
    </row>
    <row r="987" spans="1:14" x14ac:dyDescent="0.3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3">
      <c r="A988" s="244" t="s">
        <v>32</v>
      </c>
      <c r="B988" s="311">
        <f>SUM(B978:B986)</f>
        <v>43.155999998508463</v>
      </c>
      <c r="C988" s="311">
        <f t="shared" ref="C988:D988" si="361">SUM(C978:C986)</f>
        <v>25.462000000035989</v>
      </c>
      <c r="D988" s="311">
        <f t="shared" si="361"/>
        <v>68.617999998544434</v>
      </c>
      <c r="E988" s="311"/>
      <c r="F988" s="311">
        <f t="shared" ref="F988:H988" si="362">SUM(F978:F986)</f>
        <v>65.342000000912719</v>
      </c>
      <c r="G988" s="311">
        <f t="shared" si="362"/>
        <v>33.792999999969425</v>
      </c>
      <c r="H988" s="311">
        <f t="shared" si="362"/>
        <v>99.135000000882116</v>
      </c>
      <c r="I988" s="311"/>
      <c r="J988" s="311">
        <f t="shared" ref="J988:L988" si="363">SUM(J978:J986)</f>
        <v>86.128000000081641</v>
      </c>
      <c r="K988" s="311">
        <f t="shared" si="363"/>
        <v>42.872000000189473</v>
      </c>
      <c r="L988" s="311">
        <f t="shared" si="363"/>
        <v>129.00000000027111</v>
      </c>
      <c r="M988" s="236"/>
      <c r="N988" s="236"/>
    </row>
    <row r="989" spans="1:14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3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3">
      <c r="A992" s="241" t="str">
        <f>name!A61</f>
        <v>Rental and leasing</v>
      </c>
      <c r="B992" s="373">
        <f>B$6</f>
        <v>2015</v>
      </c>
      <c r="C992" s="373"/>
      <c r="D992" s="373"/>
      <c r="E992" s="253"/>
      <c r="F992" s="373">
        <f>F$6</f>
        <v>2020</v>
      </c>
      <c r="G992" s="373"/>
      <c r="H992" s="373"/>
      <c r="I992" s="253"/>
      <c r="J992" s="373">
        <f>J$6</f>
        <v>2035</v>
      </c>
      <c r="K992" s="373"/>
      <c r="L992" s="373"/>
      <c r="M992" s="236"/>
      <c r="N992" s="236"/>
    </row>
    <row r="993" spans="1:14" x14ac:dyDescent="0.3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3">
      <c r="A995" s="237" t="str">
        <f>name!E$4</f>
        <v>Managers, directors and senior officials</v>
      </c>
      <c r="B995" s="302">
        <v>3.0805789758712572</v>
      </c>
      <c r="C995" s="302">
        <v>24.000179377766042</v>
      </c>
      <c r="D995" s="302">
        <f>SUM(B995:C995)</f>
        <v>27.0807583536373</v>
      </c>
      <c r="E995" s="303"/>
      <c r="F995" s="302">
        <v>3.5835737114679831</v>
      </c>
      <c r="G995" s="302">
        <v>23.68510742773093</v>
      </c>
      <c r="H995" s="302">
        <f>SUM(F995:G995)</f>
        <v>27.268681139198915</v>
      </c>
      <c r="I995" s="303"/>
      <c r="J995" s="302">
        <v>4.3659138542796825</v>
      </c>
      <c r="K995" s="302">
        <v>27.826602595424053</v>
      </c>
      <c r="L995" s="302">
        <f>SUM(J995:K995)</f>
        <v>32.192516449703731</v>
      </c>
      <c r="M995" s="236"/>
      <c r="N995" s="236"/>
    </row>
    <row r="996" spans="1:14" x14ac:dyDescent="0.3">
      <c r="A996" s="237" t="str">
        <f>name!E$5</f>
        <v>Professional occupations</v>
      </c>
      <c r="B996" s="302">
        <v>3.3979276002737717</v>
      </c>
      <c r="C996" s="302">
        <v>19.511405385704645</v>
      </c>
      <c r="D996" s="302">
        <f t="shared" ref="D996:D1003" si="364">SUM(B996:C996)</f>
        <v>22.909332985978416</v>
      </c>
      <c r="E996" s="303"/>
      <c r="F996" s="302">
        <v>4.2514169280702516</v>
      </c>
      <c r="G996" s="302">
        <v>21.14895727456615</v>
      </c>
      <c r="H996" s="302">
        <f t="shared" ref="H996:H1003" si="365">SUM(F996:G996)</f>
        <v>25.400374202636403</v>
      </c>
      <c r="I996" s="303"/>
      <c r="J996" s="302">
        <v>5.4402229278407681</v>
      </c>
      <c r="K996" s="302">
        <v>28.016642241214225</v>
      </c>
      <c r="L996" s="302">
        <f t="shared" ref="L996:L1003" si="366">SUM(J996:K996)</f>
        <v>33.456865169054993</v>
      </c>
      <c r="M996" s="236"/>
      <c r="N996" s="236"/>
    </row>
    <row r="997" spans="1:14" x14ac:dyDescent="0.3">
      <c r="A997" s="237" t="str">
        <f>name!E$6</f>
        <v>Associate professional occupations</v>
      </c>
      <c r="B997" s="302">
        <v>3.6147780622806813</v>
      </c>
      <c r="C997" s="302">
        <v>14.729158432091943</v>
      </c>
      <c r="D997" s="302">
        <f t="shared" si="364"/>
        <v>18.343936494372624</v>
      </c>
      <c r="E997" s="303"/>
      <c r="F997" s="302">
        <v>3.9921621338479483</v>
      </c>
      <c r="G997" s="302">
        <v>14.823088357404966</v>
      </c>
      <c r="H997" s="302">
        <f t="shared" si="365"/>
        <v>18.815250491252915</v>
      </c>
      <c r="I997" s="303"/>
      <c r="J997" s="302">
        <v>4.5579221562560583</v>
      </c>
      <c r="K997" s="302">
        <v>15.567559307916378</v>
      </c>
      <c r="L997" s="302">
        <f t="shared" si="366"/>
        <v>20.125481464172438</v>
      </c>
      <c r="M997" s="236"/>
      <c r="N997" s="236"/>
    </row>
    <row r="998" spans="1:14" x14ac:dyDescent="0.3">
      <c r="A998" s="237" t="str">
        <f>name!E$7</f>
        <v>Administrative and secretarial occupations</v>
      </c>
      <c r="B998" s="302">
        <v>8.3854314406657</v>
      </c>
      <c r="C998" s="302">
        <v>9.3149001009754802</v>
      </c>
      <c r="D998" s="302">
        <f t="shared" si="364"/>
        <v>17.70033154164118</v>
      </c>
      <c r="E998" s="303"/>
      <c r="F998" s="302">
        <v>7.7791857098087549</v>
      </c>
      <c r="G998" s="302">
        <v>8.7145450671334022</v>
      </c>
      <c r="H998" s="302">
        <f t="shared" si="365"/>
        <v>16.493730776942158</v>
      </c>
      <c r="I998" s="303"/>
      <c r="J998" s="302">
        <v>6.8231482226588396</v>
      </c>
      <c r="K998" s="302">
        <v>10.724265447176821</v>
      </c>
      <c r="L998" s="302">
        <f t="shared" si="366"/>
        <v>17.54741366983566</v>
      </c>
      <c r="M998" s="236"/>
      <c r="N998" s="236"/>
    </row>
    <row r="999" spans="1:14" x14ac:dyDescent="0.3">
      <c r="A999" s="237" t="str">
        <f>name!E$8</f>
        <v>Skilled trades occupations</v>
      </c>
      <c r="B999" s="302">
        <v>0.66694467041199523</v>
      </c>
      <c r="C999" s="302">
        <v>15.915996024973682</v>
      </c>
      <c r="D999" s="302">
        <f t="shared" si="364"/>
        <v>16.582940695385677</v>
      </c>
      <c r="E999" s="303"/>
      <c r="F999" s="302">
        <v>0.74289518588619829</v>
      </c>
      <c r="G999" s="302">
        <v>11.092393683615946</v>
      </c>
      <c r="H999" s="302">
        <f t="shared" si="365"/>
        <v>11.835288869502143</v>
      </c>
      <c r="I999" s="303"/>
      <c r="J999" s="302">
        <v>1.494411280991109</v>
      </c>
      <c r="K999" s="302">
        <v>10.00315459929832</v>
      </c>
      <c r="L999" s="302">
        <f t="shared" si="366"/>
        <v>11.497565880289429</v>
      </c>
      <c r="M999" s="236"/>
      <c r="N999" s="236"/>
    </row>
    <row r="1000" spans="1:14" x14ac:dyDescent="0.3">
      <c r="A1000" s="237" t="str">
        <f>name!E$9</f>
        <v>Caring, leisure and other service occupations</v>
      </c>
      <c r="B1000" s="302">
        <v>0.83238118115991111</v>
      </c>
      <c r="C1000" s="302">
        <v>3.6166999822285995</v>
      </c>
      <c r="D1000" s="302">
        <f t="shared" si="364"/>
        <v>4.4490811633885103</v>
      </c>
      <c r="E1000" s="303"/>
      <c r="F1000" s="302">
        <v>0.82552943167495429</v>
      </c>
      <c r="G1000" s="302">
        <v>3.4134304023190296</v>
      </c>
      <c r="H1000" s="302">
        <f t="shared" si="365"/>
        <v>4.2389598339939836</v>
      </c>
      <c r="I1000" s="303"/>
      <c r="J1000" s="302">
        <v>0.8594540932029715</v>
      </c>
      <c r="K1000" s="302">
        <v>5.2925337976967839</v>
      </c>
      <c r="L1000" s="302">
        <f t="shared" si="366"/>
        <v>6.1519878908997558</v>
      </c>
      <c r="M1000" s="236"/>
      <c r="N1000" s="236"/>
    </row>
    <row r="1001" spans="1:14" x14ac:dyDescent="0.3">
      <c r="A1001" s="237" t="str">
        <f>name!E$10</f>
        <v>Sales and customer service occupations</v>
      </c>
      <c r="B1001" s="302">
        <v>6.3409372319598454</v>
      </c>
      <c r="C1001" s="302">
        <v>8.0472968354992336</v>
      </c>
      <c r="D1001" s="302">
        <f t="shared" si="364"/>
        <v>14.388234067459079</v>
      </c>
      <c r="E1001" s="303"/>
      <c r="F1001" s="302">
        <v>5.70176058446987</v>
      </c>
      <c r="G1001" s="302">
        <v>6.3319446865943876</v>
      </c>
      <c r="H1001" s="302">
        <f t="shared" si="365"/>
        <v>12.033705271064257</v>
      </c>
      <c r="I1001" s="303"/>
      <c r="J1001" s="302">
        <v>6.8724624253280275</v>
      </c>
      <c r="K1001" s="302">
        <v>6.4132751004684341</v>
      </c>
      <c r="L1001" s="302">
        <f t="shared" si="366"/>
        <v>13.285737525796462</v>
      </c>
      <c r="M1001" s="236"/>
      <c r="N1001" s="236"/>
    </row>
    <row r="1002" spans="1:14" x14ac:dyDescent="0.3">
      <c r="A1002" s="237" t="str">
        <f>name!E$11</f>
        <v>Process, plant and machine operatives</v>
      </c>
      <c r="B1002" s="302">
        <v>0.80657996618146643</v>
      </c>
      <c r="C1002" s="302">
        <v>19.462796425384376</v>
      </c>
      <c r="D1002" s="302">
        <f t="shared" si="364"/>
        <v>20.269376391565842</v>
      </c>
      <c r="E1002" s="303"/>
      <c r="F1002" s="302">
        <v>0.55983828081840736</v>
      </c>
      <c r="G1002" s="302">
        <v>15.768809734709317</v>
      </c>
      <c r="H1002" s="302">
        <f t="shared" si="365"/>
        <v>16.328648015527722</v>
      </c>
      <c r="I1002" s="303"/>
      <c r="J1002" s="302">
        <v>1.0441051796415841</v>
      </c>
      <c r="K1002" s="302">
        <v>15.681871779149365</v>
      </c>
      <c r="L1002" s="302">
        <f t="shared" si="366"/>
        <v>16.725976958790948</v>
      </c>
      <c r="M1002" s="236"/>
      <c r="N1002" s="236"/>
    </row>
    <row r="1003" spans="1:14" x14ac:dyDescent="0.3">
      <c r="A1003" s="237" t="str">
        <f>name!E$12</f>
        <v>Elementary occupations</v>
      </c>
      <c r="B1003" s="302">
        <v>1.6464408712802177</v>
      </c>
      <c r="C1003" s="302">
        <v>3.566567435578595</v>
      </c>
      <c r="D1003" s="302">
        <f t="shared" si="364"/>
        <v>5.2130083068588124</v>
      </c>
      <c r="E1003" s="303"/>
      <c r="F1003" s="302">
        <v>1.3886380339447453</v>
      </c>
      <c r="G1003" s="302">
        <v>2.4197233659848454</v>
      </c>
      <c r="H1003" s="302">
        <f t="shared" si="365"/>
        <v>3.8083613999295904</v>
      </c>
      <c r="I1003" s="303"/>
      <c r="J1003" s="302">
        <v>1.633359859669856</v>
      </c>
      <c r="K1003" s="302">
        <v>2.4450951319606293</v>
      </c>
      <c r="L1003" s="302">
        <f t="shared" si="366"/>
        <v>4.0784549916304851</v>
      </c>
      <c r="M1003" s="236"/>
      <c r="N1003" s="236"/>
    </row>
    <row r="1004" spans="1:14" x14ac:dyDescent="0.3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3">
      <c r="A1005" s="244" t="s">
        <v>32</v>
      </c>
      <c r="B1005" s="311">
        <f>SUM(B995:B1003)</f>
        <v>28.772000000084844</v>
      </c>
      <c r="C1005" s="311">
        <f t="shared" ref="C1005:D1005" si="367">SUM(C995:C1003)</f>
        <v>118.1650000002026</v>
      </c>
      <c r="D1005" s="311">
        <f t="shared" si="367"/>
        <v>146.93700000028744</v>
      </c>
      <c r="E1005" s="311"/>
      <c r="F1005" s="311">
        <f t="shared" ref="F1005:H1005" si="368">SUM(F995:F1003)</f>
        <v>28.824999999989114</v>
      </c>
      <c r="G1005" s="311">
        <f t="shared" si="368"/>
        <v>107.39800000005899</v>
      </c>
      <c r="H1005" s="311">
        <f t="shared" si="368"/>
        <v>136.2230000000481</v>
      </c>
      <c r="I1005" s="311"/>
      <c r="J1005" s="311">
        <f t="shared" ref="J1005:L1005" si="369">SUM(J995:J1003)</f>
        <v>33.090999999868899</v>
      </c>
      <c r="K1005" s="311">
        <f t="shared" si="369"/>
        <v>121.97100000030501</v>
      </c>
      <c r="L1005" s="311">
        <f t="shared" si="369"/>
        <v>155.0620000001739</v>
      </c>
      <c r="M1005" s="236"/>
      <c r="N1005" s="236"/>
    </row>
    <row r="1006" spans="1:14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3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3">
      <c r="A1009" s="241" t="str">
        <f>name!A62</f>
        <v>Employment activities</v>
      </c>
      <c r="B1009" s="373">
        <f>B$6</f>
        <v>2015</v>
      </c>
      <c r="C1009" s="373"/>
      <c r="D1009" s="373"/>
      <c r="E1009" s="253"/>
      <c r="F1009" s="373">
        <f>F$6</f>
        <v>2020</v>
      </c>
      <c r="G1009" s="373"/>
      <c r="H1009" s="373"/>
      <c r="I1009" s="253"/>
      <c r="J1009" s="373">
        <f>J$6</f>
        <v>2035</v>
      </c>
      <c r="K1009" s="373"/>
      <c r="L1009" s="373"/>
      <c r="M1009" s="236"/>
      <c r="N1009" s="236"/>
    </row>
    <row r="1010" spans="1:14" x14ac:dyDescent="0.3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3">
      <c r="A1012" s="237" t="str">
        <f>name!E$4</f>
        <v>Managers, directors and senior officials</v>
      </c>
      <c r="B1012" s="302">
        <v>27.091697010945584</v>
      </c>
      <c r="C1012" s="302">
        <v>56.762187515955219</v>
      </c>
      <c r="D1012" s="302">
        <f>SUM(B1012:C1012)</f>
        <v>83.853884526900799</v>
      </c>
      <c r="E1012" s="303"/>
      <c r="F1012" s="302">
        <v>30.377790285489187</v>
      </c>
      <c r="G1012" s="302">
        <v>57.510349006390527</v>
      </c>
      <c r="H1012" s="302">
        <f>SUM(F1012:G1012)</f>
        <v>87.88813929187971</v>
      </c>
      <c r="I1012" s="303"/>
      <c r="J1012" s="302">
        <v>40.814923587177596</v>
      </c>
      <c r="K1012" s="302">
        <v>66.049239891974423</v>
      </c>
      <c r="L1012" s="302">
        <f>SUM(J1012:K1012)</f>
        <v>106.86416347915201</v>
      </c>
      <c r="M1012" s="236"/>
      <c r="N1012" s="236"/>
    </row>
    <row r="1013" spans="1:14" x14ac:dyDescent="0.3">
      <c r="A1013" s="237" t="str">
        <f>name!E$5</f>
        <v>Professional occupations</v>
      </c>
      <c r="B1013" s="302">
        <v>37.681521213662059</v>
      </c>
      <c r="C1013" s="302">
        <v>60.904078841920281</v>
      </c>
      <c r="D1013" s="302">
        <f t="shared" ref="D1013:D1020" si="370">SUM(B1013:C1013)</f>
        <v>98.585600055582347</v>
      </c>
      <c r="E1013" s="303"/>
      <c r="F1013" s="302">
        <v>46.149218126300447</v>
      </c>
      <c r="G1013" s="302">
        <v>69.654761029219813</v>
      </c>
      <c r="H1013" s="302">
        <f t="shared" ref="H1013:H1020" si="371">SUM(F1013:G1013)</f>
        <v>115.80397915552027</v>
      </c>
      <c r="I1013" s="303"/>
      <c r="J1013" s="302">
        <v>61.073646851729279</v>
      </c>
      <c r="K1013" s="302">
        <v>93.037850791653909</v>
      </c>
      <c r="L1013" s="302">
        <f t="shared" ref="L1013:L1020" si="372">SUM(J1013:K1013)</f>
        <v>154.11149764338319</v>
      </c>
      <c r="M1013" s="236"/>
      <c r="N1013" s="236"/>
    </row>
    <row r="1014" spans="1:14" x14ac:dyDescent="0.3">
      <c r="A1014" s="237" t="str">
        <f>name!E$6</f>
        <v>Associate professional occupations</v>
      </c>
      <c r="B1014" s="302">
        <v>52.60046781878291</v>
      </c>
      <c r="C1014" s="302">
        <v>96.147555562284069</v>
      </c>
      <c r="D1014" s="302">
        <f t="shared" si="370"/>
        <v>148.74802338106699</v>
      </c>
      <c r="E1014" s="303"/>
      <c r="F1014" s="302">
        <v>57.768644644075557</v>
      </c>
      <c r="G1014" s="302">
        <v>95.001503666145197</v>
      </c>
      <c r="H1014" s="302">
        <f t="shared" si="371"/>
        <v>152.77014831022075</v>
      </c>
      <c r="I1014" s="303"/>
      <c r="J1014" s="302">
        <v>66.140488384491334</v>
      </c>
      <c r="K1014" s="302">
        <v>96.912683177884517</v>
      </c>
      <c r="L1014" s="302">
        <f t="shared" si="372"/>
        <v>163.05317156237584</v>
      </c>
      <c r="M1014" s="236"/>
      <c r="N1014" s="236"/>
    </row>
    <row r="1015" spans="1:14" x14ac:dyDescent="0.3">
      <c r="A1015" s="237" t="str">
        <f>name!E$7</f>
        <v>Administrative and secretarial occupations</v>
      </c>
      <c r="B1015" s="302">
        <v>65.272456032330226</v>
      </c>
      <c r="C1015" s="302">
        <v>35.122075057749385</v>
      </c>
      <c r="D1015" s="302">
        <f t="shared" si="370"/>
        <v>100.39453109007961</v>
      </c>
      <c r="E1015" s="303"/>
      <c r="F1015" s="302">
        <v>60.180130869789224</v>
      </c>
      <c r="G1015" s="302">
        <v>37.103685336018884</v>
      </c>
      <c r="H1015" s="302">
        <f t="shared" si="371"/>
        <v>97.283816205808108</v>
      </c>
      <c r="I1015" s="303"/>
      <c r="J1015" s="302">
        <v>55.314824005016746</v>
      </c>
      <c r="K1015" s="302">
        <v>41.84571802704275</v>
      </c>
      <c r="L1015" s="302">
        <f t="shared" si="372"/>
        <v>97.160542032059496</v>
      </c>
      <c r="M1015" s="236"/>
      <c r="N1015" s="236"/>
    </row>
    <row r="1016" spans="1:14" x14ac:dyDescent="0.3">
      <c r="A1016" s="237" t="str">
        <f>name!E$8</f>
        <v>Skilled trades occupations</v>
      </c>
      <c r="B1016" s="302">
        <v>5.1322941873920396</v>
      </c>
      <c r="C1016" s="302">
        <v>29.874186285143601</v>
      </c>
      <c r="D1016" s="302">
        <f t="shared" si="370"/>
        <v>35.006480472535642</v>
      </c>
      <c r="E1016" s="303"/>
      <c r="F1016" s="302">
        <v>5.720597774673748</v>
      </c>
      <c r="G1016" s="302">
        <v>20.0020002557903</v>
      </c>
      <c r="H1016" s="302">
        <f t="shared" si="371"/>
        <v>25.722598030464049</v>
      </c>
      <c r="I1016" s="303"/>
      <c r="J1016" s="302">
        <v>10.068682474515324</v>
      </c>
      <c r="K1016" s="302">
        <v>18.367078543692688</v>
      </c>
      <c r="L1016" s="302">
        <f t="shared" si="372"/>
        <v>28.435761018208012</v>
      </c>
      <c r="M1016" s="236"/>
      <c r="N1016" s="236"/>
    </row>
    <row r="1017" spans="1:14" x14ac:dyDescent="0.3">
      <c r="A1017" s="237" t="str">
        <f>name!E$9</f>
        <v>Caring, leisure and other service occupations</v>
      </c>
      <c r="B1017" s="302">
        <v>37.265733333562892</v>
      </c>
      <c r="C1017" s="302">
        <v>20.746757384647061</v>
      </c>
      <c r="D1017" s="302">
        <f t="shared" si="370"/>
        <v>58.012490718209953</v>
      </c>
      <c r="E1017" s="303"/>
      <c r="F1017" s="302">
        <v>35.903900980959776</v>
      </c>
      <c r="G1017" s="302">
        <v>22.606442642630668</v>
      </c>
      <c r="H1017" s="302">
        <f t="shared" si="371"/>
        <v>58.510343623590444</v>
      </c>
      <c r="I1017" s="303"/>
      <c r="J1017" s="302">
        <v>44.219445098422064</v>
      </c>
      <c r="K1017" s="302">
        <v>27.492566217680377</v>
      </c>
      <c r="L1017" s="302">
        <f t="shared" si="372"/>
        <v>71.712011316102434</v>
      </c>
      <c r="M1017" s="236"/>
      <c r="N1017" s="236"/>
    </row>
    <row r="1018" spans="1:14" x14ac:dyDescent="0.3">
      <c r="A1018" s="237" t="str">
        <f>name!E$10</f>
        <v>Sales and customer service occupations</v>
      </c>
      <c r="B1018" s="302">
        <v>22.827631000664077</v>
      </c>
      <c r="C1018" s="302">
        <v>38.915436508068595</v>
      </c>
      <c r="D1018" s="302">
        <f t="shared" si="370"/>
        <v>61.743067508732672</v>
      </c>
      <c r="E1018" s="303"/>
      <c r="F1018" s="302">
        <v>21.948764115565474</v>
      </c>
      <c r="G1018" s="302">
        <v>35.569535722362019</v>
      </c>
      <c r="H1018" s="302">
        <f t="shared" si="371"/>
        <v>57.518299837927493</v>
      </c>
      <c r="I1018" s="303"/>
      <c r="J1018" s="302">
        <v>31.27336414483915</v>
      </c>
      <c r="K1018" s="302">
        <v>46.183369454310721</v>
      </c>
      <c r="L1018" s="302">
        <f t="shared" si="372"/>
        <v>77.456733599149871</v>
      </c>
      <c r="M1018" s="236"/>
      <c r="N1018" s="236"/>
    </row>
    <row r="1019" spans="1:14" x14ac:dyDescent="0.3">
      <c r="A1019" s="237" t="str">
        <f>name!E$11</f>
        <v>Process, plant and machine operatives</v>
      </c>
      <c r="B1019" s="302">
        <v>4.1089847212948012</v>
      </c>
      <c r="C1019" s="302">
        <v>30.876523925915631</v>
      </c>
      <c r="D1019" s="302">
        <f t="shared" si="370"/>
        <v>34.98550864721043</v>
      </c>
      <c r="E1019" s="303"/>
      <c r="F1019" s="302">
        <v>3.2184455438414257</v>
      </c>
      <c r="G1019" s="302">
        <v>27.882911962273564</v>
      </c>
      <c r="H1019" s="302">
        <f t="shared" si="371"/>
        <v>31.10135750611499</v>
      </c>
      <c r="I1019" s="303"/>
      <c r="J1019" s="302">
        <v>5.2936403964031324</v>
      </c>
      <c r="K1019" s="302">
        <v>29.327739313550449</v>
      </c>
      <c r="L1019" s="302">
        <f t="shared" si="372"/>
        <v>34.62137970995358</v>
      </c>
      <c r="M1019" s="236"/>
      <c r="N1019" s="236"/>
    </row>
    <row r="1020" spans="1:14" ht="13.5" customHeight="1" x14ac:dyDescent="0.3">
      <c r="A1020" s="237" t="str">
        <f>name!E$12</f>
        <v>Elementary occupations</v>
      </c>
      <c r="B1020" s="302">
        <v>88.17421468362835</v>
      </c>
      <c r="C1020" s="302">
        <v>207.36519892223109</v>
      </c>
      <c r="D1020" s="302">
        <f t="shared" si="370"/>
        <v>295.53941360585941</v>
      </c>
      <c r="E1020" s="303"/>
      <c r="F1020" s="302">
        <v>73.977507658184948</v>
      </c>
      <c r="G1020" s="302">
        <v>173.97081038039741</v>
      </c>
      <c r="H1020" s="302">
        <f t="shared" si="371"/>
        <v>247.94831803858236</v>
      </c>
      <c r="I1020" s="303"/>
      <c r="J1020" s="302">
        <v>68.667985055903657</v>
      </c>
      <c r="K1020" s="302">
        <v>191.52875458406677</v>
      </c>
      <c r="L1020" s="302">
        <f t="shared" si="372"/>
        <v>260.19673963997042</v>
      </c>
      <c r="M1020" s="236"/>
      <c r="N1020" s="236"/>
    </row>
    <row r="1021" spans="1:14" ht="13.5" customHeight="1" x14ac:dyDescent="0.3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3">
      <c r="A1022" s="244" t="s">
        <v>32</v>
      </c>
      <c r="B1022" s="311">
        <f>SUM(B1012:B1020)</f>
        <v>340.15500000226291</v>
      </c>
      <c r="C1022" s="311">
        <f t="shared" ref="C1022:D1022" si="373">SUM(C1012:C1020)</f>
        <v>576.71400000391498</v>
      </c>
      <c r="D1022" s="311">
        <f t="shared" si="373"/>
        <v>916.86900000617788</v>
      </c>
      <c r="E1022" s="311"/>
      <c r="F1022" s="311">
        <f t="shared" ref="F1022:H1022" si="374">SUM(F1012:F1020)</f>
        <v>335.24499999887979</v>
      </c>
      <c r="G1022" s="311">
        <f t="shared" si="374"/>
        <v>539.30200000122829</v>
      </c>
      <c r="H1022" s="311">
        <f t="shared" si="374"/>
        <v>874.54700000010814</v>
      </c>
      <c r="I1022" s="311"/>
      <c r="J1022" s="311">
        <f t="shared" ref="J1022:L1022" si="375">SUM(J1012:J1020)</f>
        <v>382.86699999849833</v>
      </c>
      <c r="K1022" s="311">
        <f t="shared" si="375"/>
        <v>610.74500000185651</v>
      </c>
      <c r="L1022" s="311">
        <f t="shared" si="375"/>
        <v>993.61200000035478</v>
      </c>
      <c r="M1022" s="236"/>
      <c r="N1022" s="236"/>
    </row>
    <row r="1023" spans="1:14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3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3">
      <c r="A1026" s="241" t="str">
        <f>name!A63</f>
        <v>Travel, etc</v>
      </c>
      <c r="B1026" s="373">
        <f>B$6</f>
        <v>2015</v>
      </c>
      <c r="C1026" s="373"/>
      <c r="D1026" s="373"/>
      <c r="E1026" s="253"/>
      <c r="F1026" s="373">
        <f>F$6</f>
        <v>2020</v>
      </c>
      <c r="G1026" s="373"/>
      <c r="H1026" s="373"/>
      <c r="I1026" s="253"/>
      <c r="J1026" s="373">
        <f>J$6</f>
        <v>2035</v>
      </c>
      <c r="K1026" s="373"/>
      <c r="L1026" s="373"/>
      <c r="M1026" s="236"/>
      <c r="N1026" s="236"/>
    </row>
    <row r="1027" spans="1:14" x14ac:dyDescent="0.3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3">
      <c r="A1029" s="237" t="str">
        <f>name!E$4</f>
        <v>Managers, directors and senior officials</v>
      </c>
      <c r="B1029" s="302">
        <v>1.8944547916624801</v>
      </c>
      <c r="C1029" s="302">
        <v>6.962008476918796</v>
      </c>
      <c r="D1029" s="302">
        <f>SUM(B1029:C1029)</f>
        <v>8.8564632685812761</v>
      </c>
      <c r="E1029" s="303"/>
      <c r="F1029" s="302">
        <v>2.5335634108637626</v>
      </c>
      <c r="G1029" s="302">
        <v>8.0649848760738454</v>
      </c>
      <c r="H1029" s="302">
        <f>SUM(F1029:G1029)</f>
        <v>10.598548286937607</v>
      </c>
      <c r="I1029" s="303"/>
      <c r="J1029" s="302">
        <v>3.1371669563414382</v>
      </c>
      <c r="K1029" s="302">
        <v>9.4745506342835686</v>
      </c>
      <c r="L1029" s="302">
        <f>SUM(J1029:K1029)</f>
        <v>12.611717590625007</v>
      </c>
      <c r="M1029" s="236"/>
      <c r="N1029" s="236"/>
    </row>
    <row r="1030" spans="1:14" x14ac:dyDescent="0.3">
      <c r="A1030" s="237" t="str">
        <f>name!E$5</f>
        <v>Professional occupations</v>
      </c>
      <c r="B1030" s="302">
        <v>1.1218720576082544</v>
      </c>
      <c r="C1030" s="302">
        <v>4.3696321123787794</v>
      </c>
      <c r="D1030" s="302">
        <f t="shared" ref="D1030:D1037" si="376">SUM(B1030:C1030)</f>
        <v>5.4915041699870333</v>
      </c>
      <c r="E1030" s="303"/>
      <c r="F1030" s="302">
        <v>1.6089956322627381</v>
      </c>
      <c r="G1030" s="302">
        <v>5.6054484563852691</v>
      </c>
      <c r="H1030" s="302">
        <f t="shared" ref="H1030:H1037" si="377">SUM(F1030:G1030)</f>
        <v>7.2144440886480075</v>
      </c>
      <c r="I1030" s="303"/>
      <c r="J1030" s="302">
        <v>2.2231054268710104</v>
      </c>
      <c r="K1030" s="302">
        <v>7.9514446903707228</v>
      </c>
      <c r="L1030" s="302">
        <f t="shared" ref="L1030:L1037" si="378">SUM(J1030:K1030)</f>
        <v>10.174550117241733</v>
      </c>
      <c r="M1030" s="236"/>
      <c r="N1030" s="236"/>
    </row>
    <row r="1031" spans="1:14" x14ac:dyDescent="0.3">
      <c r="A1031" s="237" t="str">
        <f>name!E$6</f>
        <v>Associate professional occupations</v>
      </c>
      <c r="B1031" s="302">
        <v>1.3673921489141849</v>
      </c>
      <c r="C1031" s="302">
        <v>3.8761119154510668</v>
      </c>
      <c r="D1031" s="302">
        <f t="shared" si="376"/>
        <v>5.2435040643652515</v>
      </c>
      <c r="E1031" s="303"/>
      <c r="F1031" s="302">
        <v>1.6476477197811896</v>
      </c>
      <c r="G1031" s="302">
        <v>4.4808152115422955</v>
      </c>
      <c r="H1031" s="302">
        <f t="shared" si="377"/>
        <v>6.1284629313234849</v>
      </c>
      <c r="I1031" s="303"/>
      <c r="J1031" s="302">
        <v>2.0596278279202616</v>
      </c>
      <c r="K1031" s="302">
        <v>4.8499076755704227</v>
      </c>
      <c r="L1031" s="302">
        <f t="shared" si="378"/>
        <v>6.9095355034906838</v>
      </c>
      <c r="M1031" s="236"/>
      <c r="N1031" s="236"/>
    </row>
    <row r="1032" spans="1:14" x14ac:dyDescent="0.3">
      <c r="A1032" s="237" t="str">
        <f>name!E$7</f>
        <v>Administrative and secretarial occupations</v>
      </c>
      <c r="B1032" s="302">
        <v>5.223711765223932</v>
      </c>
      <c r="C1032" s="302">
        <v>4.8212915243249439</v>
      </c>
      <c r="D1032" s="302">
        <f t="shared" si="376"/>
        <v>10.045003289548877</v>
      </c>
      <c r="E1032" s="303"/>
      <c r="F1032" s="302">
        <v>5.2433618049481741</v>
      </c>
      <c r="G1032" s="302">
        <v>5.6756277550479552</v>
      </c>
      <c r="H1032" s="302">
        <f t="shared" si="377"/>
        <v>10.918989559996129</v>
      </c>
      <c r="I1032" s="303"/>
      <c r="J1032" s="302">
        <v>4.8407728925346438</v>
      </c>
      <c r="K1032" s="302">
        <v>6.4669520583248596</v>
      </c>
      <c r="L1032" s="302">
        <f t="shared" si="378"/>
        <v>11.307724950859503</v>
      </c>
      <c r="M1032" s="236"/>
      <c r="N1032" s="236"/>
    </row>
    <row r="1033" spans="1:14" x14ac:dyDescent="0.3">
      <c r="A1033" s="237" t="str">
        <f>name!E$8</f>
        <v>Skilled trades occupations</v>
      </c>
      <c r="B1033" s="302">
        <v>0.20696821367134854</v>
      </c>
      <c r="C1033" s="302">
        <v>2.1268196782494377</v>
      </c>
      <c r="D1033" s="302">
        <f t="shared" si="376"/>
        <v>2.3337878919207862</v>
      </c>
      <c r="E1033" s="303"/>
      <c r="F1033" s="302">
        <v>0.23929432730863612</v>
      </c>
      <c r="G1033" s="302">
        <v>1.6515649008825595</v>
      </c>
      <c r="H1033" s="302">
        <f t="shared" si="377"/>
        <v>1.8908592281911956</v>
      </c>
      <c r="I1033" s="303"/>
      <c r="J1033" s="302">
        <v>0.54066168885444088</v>
      </c>
      <c r="K1033" s="302">
        <v>1.9945621792174995</v>
      </c>
      <c r="L1033" s="302">
        <f t="shared" si="378"/>
        <v>2.5352238680719403</v>
      </c>
      <c r="M1033" s="236"/>
      <c r="N1033" s="236"/>
    </row>
    <row r="1034" spans="1:14" x14ac:dyDescent="0.3">
      <c r="A1034" s="237" t="str">
        <f>name!E$9</f>
        <v>Caring, leisure and other service occupations</v>
      </c>
      <c r="B1034" s="302">
        <v>11.33241281768972</v>
      </c>
      <c r="C1034" s="302">
        <v>3.4325904959656919</v>
      </c>
      <c r="D1034" s="302">
        <f t="shared" si="376"/>
        <v>14.765003313655413</v>
      </c>
      <c r="E1034" s="303"/>
      <c r="F1034" s="302">
        <v>10.658389086947597</v>
      </c>
      <c r="G1034" s="302">
        <v>3.7758487453578042</v>
      </c>
      <c r="H1034" s="302">
        <f t="shared" si="377"/>
        <v>14.434237832305401</v>
      </c>
      <c r="I1034" s="303"/>
      <c r="J1034" s="302">
        <v>11.199929685771748</v>
      </c>
      <c r="K1034" s="302">
        <v>4.6491132965647548</v>
      </c>
      <c r="L1034" s="302">
        <f t="shared" si="378"/>
        <v>15.849042982336503</v>
      </c>
      <c r="M1034" s="236"/>
      <c r="N1034" s="236"/>
    </row>
    <row r="1035" spans="1:14" x14ac:dyDescent="0.3">
      <c r="A1035" s="237" t="str">
        <f>name!E$10</f>
        <v>Sales and customer service occupations</v>
      </c>
      <c r="B1035" s="302">
        <v>1.9648562644585168</v>
      </c>
      <c r="C1035" s="302">
        <v>3.061306904472278</v>
      </c>
      <c r="D1035" s="302">
        <f t="shared" si="376"/>
        <v>5.0261631689307951</v>
      </c>
      <c r="E1035" s="303"/>
      <c r="F1035" s="302">
        <v>1.8692012602738095</v>
      </c>
      <c r="G1035" s="302">
        <v>3.0138439885786648</v>
      </c>
      <c r="H1035" s="302">
        <f t="shared" si="377"/>
        <v>4.8830452488524738</v>
      </c>
      <c r="I1035" s="303"/>
      <c r="J1035" s="302">
        <v>2.4612580031111291</v>
      </c>
      <c r="K1035" s="302">
        <v>3.8433556161608893</v>
      </c>
      <c r="L1035" s="302">
        <f t="shared" si="378"/>
        <v>6.3046136192720184</v>
      </c>
      <c r="M1035" s="236"/>
      <c r="N1035" s="236"/>
    </row>
    <row r="1036" spans="1:14" x14ac:dyDescent="0.3">
      <c r="A1036" s="237" t="str">
        <f>name!E$11</f>
        <v>Process, plant and machine operatives</v>
      </c>
      <c r="B1036" s="302">
        <v>0.83675535091445252</v>
      </c>
      <c r="C1036" s="302">
        <v>15.545019418275993</v>
      </c>
      <c r="D1036" s="302">
        <f t="shared" si="376"/>
        <v>16.381774769190447</v>
      </c>
      <c r="E1036" s="303"/>
      <c r="F1036" s="302">
        <v>0.78793102464038589</v>
      </c>
      <c r="G1036" s="302">
        <v>14.546771774308931</v>
      </c>
      <c r="H1036" s="302">
        <f t="shared" si="377"/>
        <v>15.334702798949317</v>
      </c>
      <c r="I1036" s="303"/>
      <c r="J1036" s="302">
        <v>1.7508293047812622</v>
      </c>
      <c r="K1036" s="302">
        <v>16.755668893138491</v>
      </c>
      <c r="L1036" s="302">
        <f t="shared" si="378"/>
        <v>18.506498197919754</v>
      </c>
      <c r="M1036" s="236"/>
      <c r="N1036" s="236"/>
    </row>
    <row r="1037" spans="1:14" x14ac:dyDescent="0.3">
      <c r="A1037" s="237" t="str">
        <f>name!E$12</f>
        <v>Elementary occupations</v>
      </c>
      <c r="B1037" s="302">
        <v>2.6875765900774451</v>
      </c>
      <c r="C1037" s="302">
        <v>14.314219474583156</v>
      </c>
      <c r="D1037" s="302">
        <f t="shared" si="376"/>
        <v>17.001796064660603</v>
      </c>
      <c r="E1037" s="303"/>
      <c r="F1037" s="302">
        <v>2.1246157327664115</v>
      </c>
      <c r="G1037" s="302">
        <v>11.793094291607485</v>
      </c>
      <c r="H1037" s="302">
        <f t="shared" si="377"/>
        <v>13.917710024373896</v>
      </c>
      <c r="I1037" s="303"/>
      <c r="J1037" s="302">
        <v>2.285648213639969</v>
      </c>
      <c r="K1037" s="302">
        <v>10.147444956324726</v>
      </c>
      <c r="L1037" s="302">
        <f t="shared" si="378"/>
        <v>12.433093169964696</v>
      </c>
      <c r="M1037" s="236"/>
      <c r="N1037" s="236"/>
    </row>
    <row r="1038" spans="1:14" x14ac:dyDescent="0.3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3">
      <c r="A1039" s="244" t="s">
        <v>32</v>
      </c>
      <c r="B1039" s="311">
        <f>SUM(B1029:B1037)</f>
        <v>26.636000000220335</v>
      </c>
      <c r="C1039" s="311">
        <f t="shared" ref="C1039:D1039" si="379">SUM(C1029:C1037)</f>
        <v>58.509000000620141</v>
      </c>
      <c r="D1039" s="311">
        <f t="shared" si="379"/>
        <v>85.145000000840469</v>
      </c>
      <c r="E1039" s="311"/>
      <c r="F1039" s="311">
        <f t="shared" ref="F1039:H1039" si="380">SUM(F1029:F1037)</f>
        <v>26.712999999792704</v>
      </c>
      <c r="G1039" s="311">
        <f t="shared" si="380"/>
        <v>58.607999999784809</v>
      </c>
      <c r="H1039" s="311">
        <f t="shared" si="380"/>
        <v>85.320999999577509</v>
      </c>
      <c r="I1039" s="311"/>
      <c r="J1039" s="311">
        <f t="shared" ref="J1039:L1039" si="381">SUM(J1029:J1037)</f>
        <v>30.498999999825905</v>
      </c>
      <c r="K1039" s="311">
        <f t="shared" si="381"/>
        <v>66.132999999955942</v>
      </c>
      <c r="L1039" s="311">
        <f t="shared" si="381"/>
        <v>96.63199999978184</v>
      </c>
      <c r="M1039" s="236"/>
      <c r="N1039" s="236"/>
    </row>
    <row r="1040" spans="1:14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3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3">
      <c r="A1043" s="241" t="str">
        <f>name!A64</f>
        <v>Security, etc</v>
      </c>
      <c r="B1043" s="373">
        <f>B$6</f>
        <v>2015</v>
      </c>
      <c r="C1043" s="373"/>
      <c r="D1043" s="373"/>
      <c r="E1043" s="253"/>
      <c r="F1043" s="373">
        <f>F$6</f>
        <v>2020</v>
      </c>
      <c r="G1043" s="373"/>
      <c r="H1043" s="373"/>
      <c r="I1043" s="253"/>
      <c r="J1043" s="373">
        <f>J$6</f>
        <v>2035</v>
      </c>
      <c r="K1043" s="373"/>
      <c r="L1043" s="373"/>
      <c r="M1043" s="236"/>
      <c r="N1043" s="236"/>
    </row>
    <row r="1044" spans="1:14" x14ac:dyDescent="0.3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3">
      <c r="A1046" s="237" t="str">
        <f>name!E$4</f>
        <v>Managers, directors and senior officials</v>
      </c>
      <c r="B1046" s="302">
        <v>3.6374178595226367</v>
      </c>
      <c r="C1046" s="302">
        <v>14.441279756924127</v>
      </c>
      <c r="D1046" s="302">
        <f>SUM(B1046:C1046)</f>
        <v>18.078697616446764</v>
      </c>
      <c r="E1046" s="303"/>
      <c r="F1046" s="302">
        <v>4.5259372280986589</v>
      </c>
      <c r="G1046" s="302">
        <v>15.924434155523265</v>
      </c>
      <c r="H1046" s="302">
        <f>SUM(F1046:G1046)</f>
        <v>20.450371383621924</v>
      </c>
      <c r="I1046" s="303"/>
      <c r="J1046" s="302">
        <v>5.9113784193300161</v>
      </c>
      <c r="K1046" s="302">
        <v>18.269291512220551</v>
      </c>
      <c r="L1046" s="302">
        <f>SUM(J1046:K1046)</f>
        <v>24.180669931550568</v>
      </c>
      <c r="M1046" s="236"/>
      <c r="N1046" s="236"/>
    </row>
    <row r="1047" spans="1:14" x14ac:dyDescent="0.3">
      <c r="A1047" s="237" t="str">
        <f>name!E$5</f>
        <v>Professional occupations</v>
      </c>
      <c r="B1047" s="302">
        <v>5.1592564607651861</v>
      </c>
      <c r="C1047" s="302">
        <v>15.759147767995433</v>
      </c>
      <c r="D1047" s="302">
        <f t="shared" ref="D1047:D1054" si="382">SUM(B1047:C1047)</f>
        <v>20.918404228760618</v>
      </c>
      <c r="E1047" s="303"/>
      <c r="F1047" s="302">
        <v>6.9389548368870946</v>
      </c>
      <c r="G1047" s="302">
        <v>19.194510025909999</v>
      </c>
      <c r="H1047" s="302">
        <f t="shared" ref="H1047:H1054" si="383">SUM(F1047:G1047)</f>
        <v>26.133464862797094</v>
      </c>
      <c r="I1047" s="303"/>
      <c r="J1047" s="302">
        <v>9.122122851880631</v>
      </c>
      <c r="K1047" s="302">
        <v>24.930361926184371</v>
      </c>
      <c r="L1047" s="302">
        <f t="shared" ref="L1047:L1054" si="384">SUM(J1047:K1047)</f>
        <v>34.052484778065001</v>
      </c>
      <c r="M1047" s="236"/>
      <c r="N1047" s="236"/>
    </row>
    <row r="1048" spans="1:14" x14ac:dyDescent="0.3">
      <c r="A1048" s="237" t="str">
        <f>name!E$6</f>
        <v>Associate professional occupations</v>
      </c>
      <c r="B1048" s="302">
        <v>6.2850290755649727</v>
      </c>
      <c r="C1048" s="302">
        <v>24.072458593873932</v>
      </c>
      <c r="D1048" s="302">
        <f t="shared" si="382"/>
        <v>30.357487669438903</v>
      </c>
      <c r="E1048" s="303"/>
      <c r="F1048" s="302">
        <v>7.8111221773896355</v>
      </c>
      <c r="G1048" s="302">
        <v>26.027918292760333</v>
      </c>
      <c r="H1048" s="302">
        <f t="shared" si="383"/>
        <v>33.839040470149968</v>
      </c>
      <c r="I1048" s="303"/>
      <c r="J1048" s="302">
        <v>8.8670638364077679</v>
      </c>
      <c r="K1048" s="302">
        <v>26.479989319240918</v>
      </c>
      <c r="L1048" s="302">
        <f t="shared" si="384"/>
        <v>35.347053155648688</v>
      </c>
      <c r="M1048" s="236"/>
      <c r="N1048" s="236"/>
    </row>
    <row r="1049" spans="1:14" x14ac:dyDescent="0.3">
      <c r="A1049" s="237" t="str">
        <f>name!E$7</f>
        <v>Administrative and secretarial occupations</v>
      </c>
      <c r="B1049" s="302">
        <v>8.8412826589363185</v>
      </c>
      <c r="C1049" s="302">
        <v>7.8131982110732228</v>
      </c>
      <c r="D1049" s="302">
        <f t="shared" si="382"/>
        <v>16.654480870009543</v>
      </c>
      <c r="E1049" s="303"/>
      <c r="F1049" s="302">
        <v>9.6765814044348328</v>
      </c>
      <c r="G1049" s="302">
        <v>9.317229285676861</v>
      </c>
      <c r="H1049" s="302">
        <f t="shared" si="383"/>
        <v>18.993810690111694</v>
      </c>
      <c r="I1049" s="303"/>
      <c r="J1049" s="302">
        <v>8.8170156965586006</v>
      </c>
      <c r="K1049" s="302">
        <v>11.071132060375838</v>
      </c>
      <c r="L1049" s="302">
        <f t="shared" si="384"/>
        <v>19.888147756934437</v>
      </c>
      <c r="M1049" s="236"/>
      <c r="N1049" s="236"/>
    </row>
    <row r="1050" spans="1:14" x14ac:dyDescent="0.3">
      <c r="A1050" s="237" t="str">
        <f>name!E$8</f>
        <v>Skilled trades occupations</v>
      </c>
      <c r="B1050" s="302">
        <v>0.46959920237283204</v>
      </c>
      <c r="C1050" s="302">
        <v>6.3359926633582795</v>
      </c>
      <c r="D1050" s="302">
        <f t="shared" si="382"/>
        <v>6.8055918657311114</v>
      </c>
      <c r="E1050" s="303"/>
      <c r="F1050" s="302">
        <v>0.5528983422426047</v>
      </c>
      <c r="G1050" s="302">
        <v>4.9069221446081457</v>
      </c>
      <c r="H1050" s="302">
        <f t="shared" si="383"/>
        <v>5.4598204868507505</v>
      </c>
      <c r="I1050" s="303"/>
      <c r="J1050" s="302">
        <v>0.92035025193914866</v>
      </c>
      <c r="K1050" s="302">
        <v>4.3352554199105189</v>
      </c>
      <c r="L1050" s="302">
        <f t="shared" si="384"/>
        <v>5.2556056718496675</v>
      </c>
      <c r="M1050" s="236"/>
      <c r="N1050" s="236"/>
    </row>
    <row r="1051" spans="1:14" x14ac:dyDescent="0.3">
      <c r="A1051" s="237" t="str">
        <f>name!E$9</f>
        <v>Caring, leisure and other service occupations</v>
      </c>
      <c r="B1051" s="302">
        <v>4.7492181181240296</v>
      </c>
      <c r="C1051" s="302">
        <v>3.9533811209966281</v>
      </c>
      <c r="D1051" s="302">
        <f t="shared" si="382"/>
        <v>8.7025992391206586</v>
      </c>
      <c r="E1051" s="303"/>
      <c r="F1051" s="302">
        <v>5.2186079723307266</v>
      </c>
      <c r="G1051" s="302">
        <v>4.586878575350064</v>
      </c>
      <c r="H1051" s="302">
        <f t="shared" si="383"/>
        <v>9.8054865476807898</v>
      </c>
      <c r="I1051" s="303"/>
      <c r="J1051" s="302">
        <v>6.4816813729330889</v>
      </c>
      <c r="K1051" s="302">
        <v>5.64745657438697</v>
      </c>
      <c r="L1051" s="302">
        <f t="shared" si="384"/>
        <v>12.129137947320059</v>
      </c>
      <c r="M1051" s="236"/>
      <c r="N1051" s="236"/>
    </row>
    <row r="1052" spans="1:14" x14ac:dyDescent="0.3">
      <c r="A1052" s="237" t="str">
        <f>name!E$10</f>
        <v>Sales and customer service occupations</v>
      </c>
      <c r="B1052" s="302">
        <v>3.1208391662194566</v>
      </c>
      <c r="C1052" s="302">
        <v>8.6330793244360535</v>
      </c>
      <c r="D1052" s="302">
        <f t="shared" si="382"/>
        <v>11.75391849065551</v>
      </c>
      <c r="E1052" s="303"/>
      <c r="F1052" s="302">
        <v>3.6245139313608932</v>
      </c>
      <c r="G1052" s="302">
        <v>8.8483274182238159</v>
      </c>
      <c r="H1052" s="302">
        <f t="shared" si="383"/>
        <v>12.472841349584709</v>
      </c>
      <c r="I1052" s="303"/>
      <c r="J1052" s="302">
        <v>5.2040994948988972</v>
      </c>
      <c r="K1052" s="302">
        <v>11.429626344994292</v>
      </c>
      <c r="L1052" s="302">
        <f t="shared" si="384"/>
        <v>16.633725839893188</v>
      </c>
      <c r="M1052" s="236"/>
      <c r="N1052" s="236"/>
    </row>
    <row r="1053" spans="1:14" x14ac:dyDescent="0.3">
      <c r="A1053" s="237" t="str">
        <f>name!E$11</f>
        <v>Process, plant and machine operatives</v>
      </c>
      <c r="B1053" s="302">
        <v>0.5957976952852434</v>
      </c>
      <c r="C1053" s="302">
        <v>6.1314655417327888</v>
      </c>
      <c r="D1053" s="302">
        <f t="shared" si="382"/>
        <v>6.7272632370180325</v>
      </c>
      <c r="E1053" s="303"/>
      <c r="F1053" s="302">
        <v>0.54120488369276998</v>
      </c>
      <c r="G1053" s="302">
        <v>5.8709755899621392</v>
      </c>
      <c r="H1053" s="302">
        <f t="shared" si="383"/>
        <v>6.4121804736549093</v>
      </c>
      <c r="I1053" s="303"/>
      <c r="J1053" s="302">
        <v>0.92630330385837301</v>
      </c>
      <c r="K1053" s="302">
        <v>5.930961133172441</v>
      </c>
      <c r="L1053" s="302">
        <f t="shared" si="384"/>
        <v>6.857264437030814</v>
      </c>
      <c r="M1053" s="236"/>
      <c r="N1053" s="236"/>
    </row>
    <row r="1054" spans="1:14" x14ac:dyDescent="0.3">
      <c r="A1054" s="237" t="str">
        <f>name!E$12</f>
        <v>Elementary occupations</v>
      </c>
      <c r="B1054" s="302">
        <v>11.876559763499701</v>
      </c>
      <c r="C1054" s="302">
        <v>44.541997020698048</v>
      </c>
      <c r="D1054" s="302">
        <f t="shared" si="382"/>
        <v>56.418556784197747</v>
      </c>
      <c r="E1054" s="303"/>
      <c r="F1054" s="302">
        <v>11.140179223498098</v>
      </c>
      <c r="G1054" s="302">
        <v>41.070804512321871</v>
      </c>
      <c r="H1054" s="302">
        <f t="shared" si="383"/>
        <v>52.210983735819966</v>
      </c>
      <c r="I1054" s="303"/>
      <c r="J1054" s="302">
        <v>10.963984771934662</v>
      </c>
      <c r="K1054" s="302">
        <v>45.24092570994204</v>
      </c>
      <c r="L1054" s="302">
        <f t="shared" si="384"/>
        <v>56.204910481876702</v>
      </c>
      <c r="M1054" s="236"/>
      <c r="N1054" s="236"/>
    </row>
    <row r="1055" spans="1:14" x14ac:dyDescent="0.3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3">
      <c r="A1056" s="244" t="s">
        <v>32</v>
      </c>
      <c r="B1056" s="311">
        <f>SUM(B1046:B1054)</f>
        <v>44.735000000290377</v>
      </c>
      <c r="C1056" s="311">
        <f t="shared" ref="C1056:D1056" si="385">SUM(C1046:C1054)</f>
        <v>131.68200000108851</v>
      </c>
      <c r="D1056" s="311">
        <f t="shared" si="385"/>
        <v>176.41700000137888</v>
      </c>
      <c r="E1056" s="311"/>
      <c r="F1056" s="311">
        <f t="shared" ref="F1056:H1056" si="386">SUM(F1046:F1054)</f>
        <v>50.029999999935313</v>
      </c>
      <c r="G1056" s="311">
        <f t="shared" si="386"/>
        <v>135.7480000003365</v>
      </c>
      <c r="H1056" s="311">
        <f t="shared" si="386"/>
        <v>185.77800000027179</v>
      </c>
      <c r="I1056" s="311"/>
      <c r="J1056" s="311">
        <f t="shared" ref="J1056:L1056" si="387">SUM(J1046:J1054)</f>
        <v>57.213999999741183</v>
      </c>
      <c r="K1056" s="311">
        <f t="shared" si="387"/>
        <v>153.33500000042795</v>
      </c>
      <c r="L1056" s="311">
        <f t="shared" si="387"/>
        <v>210.54900000016912</v>
      </c>
      <c r="M1056" s="236"/>
      <c r="N1056" s="236"/>
    </row>
    <row r="1057" spans="1:14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3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3">
      <c r="A1060" s="241" t="str">
        <f>name!A65</f>
        <v>Services to buildings</v>
      </c>
      <c r="B1060" s="373">
        <f>B$6</f>
        <v>2015</v>
      </c>
      <c r="C1060" s="373"/>
      <c r="D1060" s="373"/>
      <c r="E1060" s="253"/>
      <c r="F1060" s="373">
        <f>F$6</f>
        <v>2020</v>
      </c>
      <c r="G1060" s="373"/>
      <c r="H1060" s="373"/>
      <c r="I1060" s="253"/>
      <c r="J1060" s="373">
        <f>J$6</f>
        <v>2035</v>
      </c>
      <c r="K1060" s="373"/>
      <c r="L1060" s="373"/>
      <c r="M1060" s="236"/>
      <c r="N1060" s="236"/>
    </row>
    <row r="1061" spans="1:14" x14ac:dyDescent="0.3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3">
      <c r="A1063" s="237" t="str">
        <f>name!E$4</f>
        <v>Managers, directors and senior officials</v>
      </c>
      <c r="B1063" s="302">
        <v>34.97208086309535</v>
      </c>
      <c r="C1063" s="302">
        <v>29.910722560636827</v>
      </c>
      <c r="D1063" s="302">
        <f>SUM(B1063:C1063)</f>
        <v>64.882803423732184</v>
      </c>
      <c r="E1063" s="303"/>
      <c r="F1063" s="302">
        <v>41.927993694191784</v>
      </c>
      <c r="G1063" s="302">
        <v>31.75890220026297</v>
      </c>
      <c r="H1063" s="302">
        <f>SUM(F1063:G1063)</f>
        <v>73.68689589445475</v>
      </c>
      <c r="I1063" s="303"/>
      <c r="J1063" s="302">
        <v>53.112305073392619</v>
      </c>
      <c r="K1063" s="302">
        <v>37.121421255205668</v>
      </c>
      <c r="L1063" s="302">
        <f>SUM(J1063:K1063)</f>
        <v>90.233726328598294</v>
      </c>
      <c r="M1063" s="236"/>
      <c r="N1063" s="236"/>
    </row>
    <row r="1064" spans="1:14" x14ac:dyDescent="0.3">
      <c r="A1064" s="237" t="str">
        <f>name!E$5</f>
        <v>Professional occupations</v>
      </c>
      <c r="B1064" s="302">
        <v>53.914242768183648</v>
      </c>
      <c r="C1064" s="302">
        <v>28.414963680709821</v>
      </c>
      <c r="D1064" s="302">
        <f t="shared" ref="D1064:D1071" si="388">SUM(B1064:C1064)</f>
        <v>82.329206448893473</v>
      </c>
      <c r="E1064" s="303"/>
      <c r="F1064" s="302">
        <v>64.869170159536694</v>
      </c>
      <c r="G1064" s="302">
        <v>34.477235934166202</v>
      </c>
      <c r="H1064" s="302">
        <f t="shared" ref="H1064:H1071" si="389">SUM(F1064:G1064)</f>
        <v>99.346406093702896</v>
      </c>
      <c r="I1064" s="303"/>
      <c r="J1064" s="302">
        <v>83.64589224597087</v>
      </c>
      <c r="K1064" s="302">
        <v>44.420482862744997</v>
      </c>
      <c r="L1064" s="302">
        <f t="shared" ref="L1064:L1071" si="390">SUM(J1064:K1064)</f>
        <v>128.06637510871587</v>
      </c>
      <c r="M1064" s="236"/>
      <c r="N1064" s="236"/>
    </row>
    <row r="1065" spans="1:14" x14ac:dyDescent="0.3">
      <c r="A1065" s="237" t="str">
        <f>name!E$6</f>
        <v>Associate professional occupations</v>
      </c>
      <c r="B1065" s="302">
        <v>60.221280097013597</v>
      </c>
      <c r="C1065" s="302">
        <v>38.647338497711509</v>
      </c>
      <c r="D1065" s="302">
        <f t="shared" si="388"/>
        <v>98.868618594725106</v>
      </c>
      <c r="E1065" s="303"/>
      <c r="F1065" s="302">
        <v>67.140491285132711</v>
      </c>
      <c r="G1065" s="302">
        <v>40.991636800759082</v>
      </c>
      <c r="H1065" s="302">
        <f t="shared" si="389"/>
        <v>108.13212808589179</v>
      </c>
      <c r="I1065" s="303"/>
      <c r="J1065" s="302">
        <v>79.178686862399957</v>
      </c>
      <c r="K1065" s="302">
        <v>41.311380425624165</v>
      </c>
      <c r="L1065" s="302">
        <f t="shared" si="390"/>
        <v>120.49006728802412</v>
      </c>
      <c r="M1065" s="236"/>
      <c r="N1065" s="236"/>
    </row>
    <row r="1066" spans="1:14" x14ac:dyDescent="0.3">
      <c r="A1066" s="237" t="str">
        <f>name!E$7</f>
        <v>Administrative and secretarial occupations</v>
      </c>
      <c r="B1066" s="302">
        <v>97.603856117545618</v>
      </c>
      <c r="C1066" s="302">
        <v>14.613832355869818</v>
      </c>
      <c r="D1066" s="302">
        <f t="shared" si="388"/>
        <v>112.21768847341544</v>
      </c>
      <c r="E1066" s="303"/>
      <c r="F1066" s="302">
        <v>93.081612808815891</v>
      </c>
      <c r="G1066" s="302">
        <v>15.66385861795955</v>
      </c>
      <c r="H1066" s="302">
        <f t="shared" si="389"/>
        <v>108.74547142677544</v>
      </c>
      <c r="I1066" s="303"/>
      <c r="J1066" s="302">
        <v>91.49620679839613</v>
      </c>
      <c r="K1066" s="302">
        <v>18.209873335442712</v>
      </c>
      <c r="L1066" s="302">
        <f t="shared" si="390"/>
        <v>109.70608013383884</v>
      </c>
      <c r="M1066" s="236"/>
      <c r="N1066" s="236"/>
    </row>
    <row r="1067" spans="1:14" x14ac:dyDescent="0.3">
      <c r="A1067" s="237" t="str">
        <f>name!E$8</f>
        <v>Skilled trades occupations</v>
      </c>
      <c r="B1067" s="302">
        <v>6.5749270437420622</v>
      </c>
      <c r="C1067" s="302">
        <v>14.765535528518086</v>
      </c>
      <c r="D1067" s="302">
        <f t="shared" si="388"/>
        <v>21.340462572260147</v>
      </c>
      <c r="E1067" s="303"/>
      <c r="F1067" s="302">
        <v>7.1702186848326059</v>
      </c>
      <c r="G1067" s="302">
        <v>10.238912816899445</v>
      </c>
      <c r="H1067" s="302">
        <f t="shared" si="389"/>
        <v>17.409131501732052</v>
      </c>
      <c r="I1067" s="303"/>
      <c r="J1067" s="302">
        <v>13.413669855668653</v>
      </c>
      <c r="K1067" s="302">
        <v>9.3047689338099229</v>
      </c>
      <c r="L1067" s="302">
        <f t="shared" si="390"/>
        <v>22.718438789478576</v>
      </c>
      <c r="M1067" s="236"/>
      <c r="N1067" s="236"/>
    </row>
    <row r="1068" spans="1:14" x14ac:dyDescent="0.3">
      <c r="A1068" s="237" t="str">
        <f>name!E$9</f>
        <v>Caring, leisure and other service occupations</v>
      </c>
      <c r="B1068" s="302">
        <v>57.979863649947561</v>
      </c>
      <c r="C1068" s="302">
        <v>9.4864972322337948</v>
      </c>
      <c r="D1068" s="302">
        <f t="shared" si="388"/>
        <v>67.466360882181363</v>
      </c>
      <c r="E1068" s="303"/>
      <c r="F1068" s="302">
        <v>56.533559339439392</v>
      </c>
      <c r="G1068" s="302">
        <v>10.139432281882652</v>
      </c>
      <c r="H1068" s="302">
        <f t="shared" si="389"/>
        <v>66.672991621322041</v>
      </c>
      <c r="I1068" s="303"/>
      <c r="J1068" s="302">
        <v>67.362014475184111</v>
      </c>
      <c r="K1068" s="302">
        <v>13.210676508844241</v>
      </c>
      <c r="L1068" s="302">
        <f t="shared" si="390"/>
        <v>80.572690984028355</v>
      </c>
      <c r="M1068" s="236"/>
      <c r="N1068" s="236"/>
    </row>
    <row r="1069" spans="1:14" x14ac:dyDescent="0.3">
      <c r="A1069" s="237" t="str">
        <f>name!E$10</f>
        <v>Sales and customer service occupations</v>
      </c>
      <c r="B1069" s="302">
        <v>35.44504178056431</v>
      </c>
      <c r="C1069" s="302">
        <v>17.102055754970543</v>
      </c>
      <c r="D1069" s="302">
        <f t="shared" si="388"/>
        <v>52.547097535534853</v>
      </c>
      <c r="E1069" s="303"/>
      <c r="F1069" s="302">
        <v>35.128080309720374</v>
      </c>
      <c r="G1069" s="302">
        <v>15.67599339222164</v>
      </c>
      <c r="H1069" s="302">
        <f t="shared" si="389"/>
        <v>50.804073701942016</v>
      </c>
      <c r="I1069" s="303"/>
      <c r="J1069" s="302">
        <v>51.977287302339697</v>
      </c>
      <c r="K1069" s="302">
        <v>19.802750633497347</v>
      </c>
      <c r="L1069" s="302">
        <f t="shared" si="390"/>
        <v>71.780037935837044</v>
      </c>
      <c r="M1069" s="236"/>
      <c r="N1069" s="236"/>
    </row>
    <row r="1070" spans="1:14" x14ac:dyDescent="0.3">
      <c r="A1070" s="237" t="str">
        <f>name!E$11</f>
        <v>Process, plant and machine operatives</v>
      </c>
      <c r="B1070" s="302">
        <v>4.4741769819711807</v>
      </c>
      <c r="C1070" s="302">
        <v>12.133777191645223</v>
      </c>
      <c r="D1070" s="302">
        <f t="shared" si="388"/>
        <v>16.607954173616402</v>
      </c>
      <c r="E1070" s="303"/>
      <c r="F1070" s="302">
        <v>3.6846060943095953</v>
      </c>
      <c r="G1070" s="302">
        <v>10.862406657709794</v>
      </c>
      <c r="H1070" s="302">
        <f t="shared" si="389"/>
        <v>14.547012752019389</v>
      </c>
      <c r="I1070" s="303"/>
      <c r="J1070" s="302">
        <v>7.3368995939498944</v>
      </c>
      <c r="K1070" s="302">
        <v>11.17141723855439</v>
      </c>
      <c r="L1070" s="302">
        <f t="shared" si="390"/>
        <v>18.508316832504285</v>
      </c>
      <c r="M1070" s="236"/>
      <c r="N1070" s="236"/>
    </row>
    <row r="1071" spans="1:14" x14ac:dyDescent="0.3">
      <c r="A1071" s="237" t="str">
        <f>name!E$12</f>
        <v>Elementary occupations</v>
      </c>
      <c r="B1071" s="302">
        <v>146.57053070220263</v>
      </c>
      <c r="C1071" s="302">
        <v>80.193277199522981</v>
      </c>
      <c r="D1071" s="302">
        <f t="shared" si="388"/>
        <v>226.76380790172561</v>
      </c>
      <c r="E1071" s="303"/>
      <c r="F1071" s="302">
        <v>121.20426762398303</v>
      </c>
      <c r="G1071" s="302">
        <v>66.524621298537809</v>
      </c>
      <c r="H1071" s="302">
        <f t="shared" si="389"/>
        <v>187.72888892252084</v>
      </c>
      <c r="I1071" s="303"/>
      <c r="J1071" s="302">
        <v>102.94103779103277</v>
      </c>
      <c r="K1071" s="302">
        <v>73.16122880707745</v>
      </c>
      <c r="L1071" s="302">
        <f t="shared" si="390"/>
        <v>176.10226659811022</v>
      </c>
      <c r="M1071" s="236"/>
      <c r="N1071" s="236"/>
    </row>
    <row r="1072" spans="1:14" x14ac:dyDescent="0.3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3">
      <c r="A1073" s="244" t="s">
        <v>32</v>
      </c>
      <c r="B1073" s="311">
        <f>SUM(B1063:B1071)</f>
        <v>497.75600000426601</v>
      </c>
      <c r="C1073" s="311">
        <f t="shared" ref="C1073:D1073" si="391">SUM(C1063:C1071)</f>
        <v>245.26800000181862</v>
      </c>
      <c r="D1073" s="311">
        <f t="shared" si="391"/>
        <v>743.02400000608463</v>
      </c>
      <c r="E1073" s="311"/>
      <c r="F1073" s="311">
        <f t="shared" ref="F1073:H1073" si="392">SUM(F1063:F1071)</f>
        <v>490.73999999996204</v>
      </c>
      <c r="G1073" s="311">
        <f t="shared" si="392"/>
        <v>236.33300000039912</v>
      </c>
      <c r="H1073" s="311">
        <f t="shared" si="392"/>
        <v>727.07300000036128</v>
      </c>
      <c r="I1073" s="311"/>
      <c r="J1073" s="311">
        <f t="shared" ref="J1073:L1073" si="393">SUM(J1063:J1071)</f>
        <v>550.46399999833466</v>
      </c>
      <c r="K1073" s="311">
        <f t="shared" si="393"/>
        <v>267.71400000080092</v>
      </c>
      <c r="L1073" s="311">
        <f t="shared" si="393"/>
        <v>818.17799999913564</v>
      </c>
      <c r="M1073" s="236"/>
      <c r="N1073" s="236"/>
    </row>
    <row r="1074" spans="1:14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3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3">
      <c r="A1077" s="241" t="str">
        <f>name!A66</f>
        <v>Office administrative</v>
      </c>
      <c r="B1077" s="373">
        <f>B$6</f>
        <v>2015</v>
      </c>
      <c r="C1077" s="373"/>
      <c r="D1077" s="373"/>
      <c r="E1077" s="253"/>
      <c r="F1077" s="373">
        <f>F$6</f>
        <v>2020</v>
      </c>
      <c r="G1077" s="373"/>
      <c r="H1077" s="373"/>
      <c r="I1077" s="253"/>
      <c r="J1077" s="373">
        <f>J$6</f>
        <v>2035</v>
      </c>
      <c r="K1077" s="373"/>
      <c r="L1077" s="373"/>
      <c r="M1077" s="236"/>
      <c r="N1077" s="236"/>
    </row>
    <row r="1078" spans="1:14" x14ac:dyDescent="0.3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3">
      <c r="A1080" s="237" t="str">
        <f>name!E$4</f>
        <v>Managers, directors and senior officials</v>
      </c>
      <c r="B1080" s="302">
        <v>10.293686097469607</v>
      </c>
      <c r="C1080" s="302">
        <v>30.481506776231704</v>
      </c>
      <c r="D1080" s="302">
        <f>SUM(B1080:C1080)</f>
        <v>40.775192873701315</v>
      </c>
      <c r="E1080" s="303"/>
      <c r="F1080" s="302">
        <v>14.089626121777654</v>
      </c>
      <c r="G1080" s="302">
        <v>36.888020893819196</v>
      </c>
      <c r="H1080" s="302">
        <f>SUM(F1080:G1080)</f>
        <v>50.977647015596851</v>
      </c>
      <c r="I1080" s="303"/>
      <c r="J1080" s="302">
        <v>17.926597791199676</v>
      </c>
      <c r="K1080" s="302">
        <v>41.821156824647261</v>
      </c>
      <c r="L1080" s="302">
        <f>SUM(J1080:K1080)</f>
        <v>59.747754615846937</v>
      </c>
      <c r="M1080" s="236"/>
      <c r="N1080" s="236"/>
    </row>
    <row r="1081" spans="1:14" x14ac:dyDescent="0.3">
      <c r="A1081" s="237" t="str">
        <f>name!E$5</f>
        <v>Professional occupations</v>
      </c>
      <c r="B1081" s="302">
        <v>14.061070510570067</v>
      </c>
      <c r="C1081" s="302">
        <v>33.053565633260106</v>
      </c>
      <c r="D1081" s="302">
        <f t="shared" ref="D1081:D1088" si="394">SUM(B1081:C1081)</f>
        <v>47.114636143830175</v>
      </c>
      <c r="E1081" s="303"/>
      <c r="F1081" s="302">
        <v>21.188914845576736</v>
      </c>
      <c r="G1081" s="302">
        <v>45.741786639464749</v>
      </c>
      <c r="H1081" s="302">
        <f t="shared" ref="H1081:H1088" si="395">SUM(F1081:G1081)</f>
        <v>66.930701485041482</v>
      </c>
      <c r="I1081" s="303"/>
      <c r="J1081" s="302">
        <v>27.415177871988025</v>
      </c>
      <c r="K1081" s="302">
        <v>60.025598104042842</v>
      </c>
      <c r="L1081" s="302">
        <f t="shared" ref="L1081:L1088" si="396">SUM(J1081:K1081)</f>
        <v>87.440775976030864</v>
      </c>
      <c r="M1081" s="236"/>
      <c r="N1081" s="236"/>
    </row>
    <row r="1082" spans="1:14" x14ac:dyDescent="0.3">
      <c r="A1082" s="237" t="str">
        <f>name!E$6</f>
        <v>Associate professional occupations</v>
      </c>
      <c r="B1082" s="302">
        <v>19.716525025596997</v>
      </c>
      <c r="C1082" s="302">
        <v>49.920822248216872</v>
      </c>
      <c r="D1082" s="302">
        <f t="shared" si="394"/>
        <v>69.637347273813873</v>
      </c>
      <c r="E1082" s="303"/>
      <c r="F1082" s="302">
        <v>26.248712597888641</v>
      </c>
      <c r="G1082" s="302">
        <v>60.860193101795033</v>
      </c>
      <c r="H1082" s="302">
        <f t="shared" si="395"/>
        <v>87.108905699683675</v>
      </c>
      <c r="I1082" s="303"/>
      <c r="J1082" s="302">
        <v>29.56742290420059</v>
      </c>
      <c r="K1082" s="302">
        <v>61.879495916765869</v>
      </c>
      <c r="L1082" s="302">
        <f t="shared" si="396"/>
        <v>91.446918820966459</v>
      </c>
      <c r="M1082" s="236"/>
      <c r="N1082" s="236"/>
    </row>
    <row r="1083" spans="1:14" x14ac:dyDescent="0.3">
      <c r="A1083" s="237" t="str">
        <f>name!E$7</f>
        <v>Administrative and secretarial occupations</v>
      </c>
      <c r="B1083" s="302">
        <v>24.871744300569066</v>
      </c>
      <c r="C1083" s="302">
        <v>19.493913160843178</v>
      </c>
      <c r="D1083" s="302">
        <f t="shared" si="394"/>
        <v>44.365657461412241</v>
      </c>
      <c r="E1083" s="303"/>
      <c r="F1083" s="302">
        <v>26.315145743056295</v>
      </c>
      <c r="G1083" s="302">
        <v>23.527869278048094</v>
      </c>
      <c r="H1083" s="302">
        <f t="shared" si="395"/>
        <v>49.843015021104392</v>
      </c>
      <c r="I1083" s="303"/>
      <c r="J1083" s="302">
        <v>23.922365660371725</v>
      </c>
      <c r="K1083" s="302">
        <v>28.077686442284609</v>
      </c>
      <c r="L1083" s="302">
        <f t="shared" si="396"/>
        <v>52.000052102656333</v>
      </c>
      <c r="M1083" s="236"/>
      <c r="N1083" s="236"/>
    </row>
    <row r="1084" spans="1:14" x14ac:dyDescent="0.3">
      <c r="A1084" s="237" t="str">
        <f>name!E$8</f>
        <v>Skilled trades occupations</v>
      </c>
      <c r="B1084" s="302">
        <v>1.5692092602087377</v>
      </c>
      <c r="C1084" s="302">
        <v>14.090837773930776</v>
      </c>
      <c r="D1084" s="302">
        <f t="shared" si="394"/>
        <v>15.660047034139513</v>
      </c>
      <c r="E1084" s="303"/>
      <c r="F1084" s="302">
        <v>1.9228966543121442</v>
      </c>
      <c r="G1084" s="302">
        <v>10.799716687879046</v>
      </c>
      <c r="H1084" s="302">
        <f t="shared" si="395"/>
        <v>12.72261334219119</v>
      </c>
      <c r="I1084" s="303"/>
      <c r="J1084" s="302">
        <v>3.1724352308959736</v>
      </c>
      <c r="K1084" s="302">
        <v>9.577194887537031</v>
      </c>
      <c r="L1084" s="302">
        <f t="shared" si="396"/>
        <v>12.749630118433004</v>
      </c>
      <c r="M1084" s="236"/>
      <c r="N1084" s="236"/>
    </row>
    <row r="1085" spans="1:14" x14ac:dyDescent="0.3">
      <c r="A1085" s="237" t="str">
        <f>name!E$9</f>
        <v>Caring, leisure and other service occupations</v>
      </c>
      <c r="B1085" s="302">
        <v>14.932153851315892</v>
      </c>
      <c r="C1085" s="302">
        <v>8.5205353281586138</v>
      </c>
      <c r="D1085" s="302">
        <f t="shared" si="394"/>
        <v>23.452689179474504</v>
      </c>
      <c r="E1085" s="303"/>
      <c r="F1085" s="302">
        <v>16.667715711469658</v>
      </c>
      <c r="G1085" s="302">
        <v>10.224435346703773</v>
      </c>
      <c r="H1085" s="302">
        <f t="shared" si="395"/>
        <v>26.892151058173432</v>
      </c>
      <c r="I1085" s="303"/>
      <c r="J1085" s="302">
        <v>20.405343290067517</v>
      </c>
      <c r="K1085" s="302">
        <v>12.340650049856281</v>
      </c>
      <c r="L1085" s="302">
        <f t="shared" si="396"/>
        <v>32.7459933399238</v>
      </c>
      <c r="M1085" s="236"/>
      <c r="N1085" s="236"/>
    </row>
    <row r="1086" spans="1:14" x14ac:dyDescent="0.3">
      <c r="A1086" s="237" t="str">
        <f>name!E$10</f>
        <v>Sales and customer service occupations</v>
      </c>
      <c r="B1086" s="302">
        <v>8.8301917789945286</v>
      </c>
      <c r="C1086" s="302">
        <v>20.699487378681443</v>
      </c>
      <c r="D1086" s="302">
        <f t="shared" si="394"/>
        <v>29.529679157675972</v>
      </c>
      <c r="E1086" s="303"/>
      <c r="F1086" s="302">
        <v>9.700446785188964</v>
      </c>
      <c r="G1086" s="302">
        <v>21.978954850226398</v>
      </c>
      <c r="H1086" s="302">
        <f t="shared" si="395"/>
        <v>31.67940163541536</v>
      </c>
      <c r="I1086" s="303"/>
      <c r="J1086" s="302">
        <v>13.674056491002281</v>
      </c>
      <c r="K1086" s="302">
        <v>28.762971416980729</v>
      </c>
      <c r="L1086" s="302">
        <f t="shared" si="396"/>
        <v>42.437027907983008</v>
      </c>
      <c r="M1086" s="236"/>
      <c r="N1086" s="236"/>
    </row>
    <row r="1087" spans="1:14" x14ac:dyDescent="0.3">
      <c r="A1087" s="237" t="str">
        <f>name!E$11</f>
        <v>Process, plant and machine operatives</v>
      </c>
      <c r="B1087" s="302">
        <v>1.8369953710492977</v>
      </c>
      <c r="C1087" s="302">
        <v>15.787312720337075</v>
      </c>
      <c r="D1087" s="302">
        <f t="shared" si="394"/>
        <v>17.624308091386371</v>
      </c>
      <c r="E1087" s="303"/>
      <c r="F1087" s="302">
        <v>1.5626567320958502</v>
      </c>
      <c r="G1087" s="302">
        <v>14.276772274974793</v>
      </c>
      <c r="H1087" s="302">
        <f t="shared" si="395"/>
        <v>15.839429007070642</v>
      </c>
      <c r="I1087" s="303"/>
      <c r="J1087" s="302">
        <v>2.6436641459075636</v>
      </c>
      <c r="K1087" s="302">
        <v>14.224585343340246</v>
      </c>
      <c r="L1087" s="302">
        <f t="shared" si="396"/>
        <v>16.868249489247809</v>
      </c>
      <c r="M1087" s="236"/>
      <c r="N1087" s="236"/>
    </row>
    <row r="1088" spans="1:14" x14ac:dyDescent="0.3">
      <c r="A1088" s="237" t="str">
        <f>name!E$12</f>
        <v>Elementary occupations</v>
      </c>
      <c r="B1088" s="302">
        <v>37.964423805185383</v>
      </c>
      <c r="C1088" s="302">
        <v>105.77001898212721</v>
      </c>
      <c r="D1088" s="302">
        <f t="shared" si="394"/>
        <v>143.73444278731259</v>
      </c>
      <c r="E1088" s="303"/>
      <c r="F1088" s="302">
        <v>36.108884807931837</v>
      </c>
      <c r="G1088" s="302">
        <v>96.195250927516966</v>
      </c>
      <c r="H1088" s="302">
        <f t="shared" si="395"/>
        <v>132.3041357354488</v>
      </c>
      <c r="I1088" s="303"/>
      <c r="J1088" s="302">
        <v>37.274936613622529</v>
      </c>
      <c r="K1088" s="302">
        <v>105.71766101502746</v>
      </c>
      <c r="L1088" s="302">
        <f t="shared" si="396"/>
        <v>142.99259762865</v>
      </c>
      <c r="M1088" s="236"/>
      <c r="N1088" s="236"/>
    </row>
    <row r="1089" spans="1:14" x14ac:dyDescent="0.3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3">
      <c r="A1090" s="244" t="s">
        <v>32</v>
      </c>
      <c r="B1090" s="311">
        <f>SUM(B1080:B1088)</f>
        <v>134.07600000095957</v>
      </c>
      <c r="C1090" s="311">
        <f t="shared" ref="C1090:D1090" si="397">SUM(C1080:C1088)</f>
        <v>297.81800000178697</v>
      </c>
      <c r="D1090" s="311">
        <f t="shared" si="397"/>
        <v>431.89400000274657</v>
      </c>
      <c r="E1090" s="311"/>
      <c r="F1090" s="311">
        <f t="shared" ref="F1090:H1090" si="398">SUM(F1080:F1088)</f>
        <v>153.80499999929776</v>
      </c>
      <c r="G1090" s="311">
        <f t="shared" si="398"/>
        <v>320.49300000042808</v>
      </c>
      <c r="H1090" s="311">
        <f t="shared" si="398"/>
        <v>474.29799999972579</v>
      </c>
      <c r="I1090" s="311"/>
      <c r="J1090" s="311">
        <f t="shared" ref="J1090:L1090" si="399">SUM(J1080:J1088)</f>
        <v>176.00199999925587</v>
      </c>
      <c r="K1090" s="311">
        <f t="shared" si="399"/>
        <v>362.42700000048228</v>
      </c>
      <c r="L1090" s="311">
        <f t="shared" si="399"/>
        <v>538.42899999973827</v>
      </c>
      <c r="M1090" s="236"/>
      <c r="N1090" s="236"/>
    </row>
    <row r="1091" spans="1:14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3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3">
      <c r="A1094" s="241" t="str">
        <f>name!A67</f>
        <v>Public administration and defence</v>
      </c>
      <c r="B1094" s="373">
        <f>B$6</f>
        <v>2015</v>
      </c>
      <c r="C1094" s="373"/>
      <c r="D1094" s="373"/>
      <c r="E1094" s="253"/>
      <c r="F1094" s="373">
        <f>F$6</f>
        <v>2020</v>
      </c>
      <c r="G1094" s="373"/>
      <c r="H1094" s="373"/>
      <c r="I1094" s="253"/>
      <c r="J1094" s="373">
        <f>J$6</f>
        <v>2035</v>
      </c>
      <c r="K1094" s="373"/>
      <c r="L1094" s="373"/>
      <c r="M1094" s="236"/>
      <c r="N1094" s="236"/>
    </row>
    <row r="1095" spans="1:14" x14ac:dyDescent="0.3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3">
      <c r="A1097" s="237" t="str">
        <f>name!E$4</f>
        <v>Managers, directors and senior officials</v>
      </c>
      <c r="B1097" s="302">
        <v>31.788387686282455</v>
      </c>
      <c r="C1097" s="302">
        <v>50.010303983135415</v>
      </c>
      <c r="D1097" s="302">
        <f>SUM(B1097:C1097)</f>
        <v>81.798691669417877</v>
      </c>
      <c r="E1097" s="303"/>
      <c r="F1097" s="302">
        <v>39.768832016101641</v>
      </c>
      <c r="G1097" s="302">
        <v>54.59913840344381</v>
      </c>
      <c r="H1097" s="302">
        <f>SUM(F1097:G1097)</f>
        <v>94.367970419545458</v>
      </c>
      <c r="I1097" s="303"/>
      <c r="J1097" s="302">
        <v>45.357748187652831</v>
      </c>
      <c r="K1097" s="302">
        <v>54.122392579548659</v>
      </c>
      <c r="L1097" s="302">
        <f>SUM(J1097:K1097)</f>
        <v>99.48014076720149</v>
      </c>
      <c r="M1097" s="236"/>
      <c r="N1097" s="236"/>
    </row>
    <row r="1098" spans="1:14" x14ac:dyDescent="0.3">
      <c r="A1098" s="237" t="str">
        <f>name!E$5</f>
        <v>Professional occupations</v>
      </c>
      <c r="B1098" s="302">
        <v>128.92621552517002</v>
      </c>
      <c r="C1098" s="302">
        <v>88.159523994531867</v>
      </c>
      <c r="D1098" s="302">
        <f t="shared" ref="D1098:D1105" si="400">SUM(B1098:C1098)</f>
        <v>217.08573951970189</v>
      </c>
      <c r="E1098" s="303"/>
      <c r="F1098" s="302">
        <v>164.95141451823113</v>
      </c>
      <c r="G1098" s="302">
        <v>110.1608658024019</v>
      </c>
      <c r="H1098" s="302">
        <f t="shared" ref="H1098:H1105" si="401">SUM(F1098:G1098)</f>
        <v>275.11228032063303</v>
      </c>
      <c r="I1098" s="303"/>
      <c r="J1098" s="302">
        <v>193.546730151269</v>
      </c>
      <c r="K1098" s="302">
        <v>126.04287909312043</v>
      </c>
      <c r="L1098" s="302">
        <f t="shared" ref="L1098:L1105" si="402">SUM(J1098:K1098)</f>
        <v>319.58960924438941</v>
      </c>
      <c r="M1098" s="236"/>
      <c r="N1098" s="236"/>
    </row>
    <row r="1099" spans="1:14" x14ac:dyDescent="0.3">
      <c r="A1099" s="237" t="str">
        <f>name!E$6</f>
        <v>Associate professional occupations</v>
      </c>
      <c r="B1099" s="302">
        <v>127.92141424675006</v>
      </c>
      <c r="C1099" s="302">
        <v>187.93717446425714</v>
      </c>
      <c r="D1099" s="302">
        <f t="shared" si="400"/>
        <v>315.8585887110072</v>
      </c>
      <c r="E1099" s="303"/>
      <c r="F1099" s="302">
        <v>148.18965828173535</v>
      </c>
      <c r="G1099" s="302">
        <v>198.32782197258348</v>
      </c>
      <c r="H1099" s="302">
        <f t="shared" si="401"/>
        <v>346.5174802543188</v>
      </c>
      <c r="I1099" s="303"/>
      <c r="J1099" s="302">
        <v>194.32192996015448</v>
      </c>
      <c r="K1099" s="302">
        <v>200.75298416024239</v>
      </c>
      <c r="L1099" s="302">
        <f t="shared" si="402"/>
        <v>395.0749141203969</v>
      </c>
      <c r="M1099" s="236"/>
      <c r="N1099" s="236"/>
    </row>
    <row r="1100" spans="1:14" x14ac:dyDescent="0.3">
      <c r="A1100" s="237" t="str">
        <f>name!E$7</f>
        <v>Administrative and secretarial occupations</v>
      </c>
      <c r="B1100" s="302">
        <v>227.19444331697613</v>
      </c>
      <c r="C1100" s="302">
        <v>63.614083187343795</v>
      </c>
      <c r="D1100" s="302">
        <f t="shared" si="400"/>
        <v>290.80852650431996</v>
      </c>
      <c r="E1100" s="303"/>
      <c r="F1100" s="302">
        <v>199.98081747715003</v>
      </c>
      <c r="G1100" s="302">
        <v>64.322828189892448</v>
      </c>
      <c r="H1100" s="302">
        <f t="shared" si="401"/>
        <v>264.30364566704247</v>
      </c>
      <c r="I1100" s="303"/>
      <c r="J1100" s="302">
        <v>143.57971939227608</v>
      </c>
      <c r="K1100" s="302">
        <v>57.516248809970151</v>
      </c>
      <c r="L1100" s="302">
        <f t="shared" si="402"/>
        <v>201.09596820224624</v>
      </c>
      <c r="M1100" s="236"/>
      <c r="N1100" s="236"/>
    </row>
    <row r="1101" spans="1:14" x14ac:dyDescent="0.3">
      <c r="A1101" s="237" t="str">
        <f>name!E$8</f>
        <v>Skilled trades occupations</v>
      </c>
      <c r="B1101" s="302">
        <v>2.3642105580588035</v>
      </c>
      <c r="C1101" s="302">
        <v>13.504658432888023</v>
      </c>
      <c r="D1101" s="302">
        <f t="shared" si="400"/>
        <v>15.868868990946826</v>
      </c>
      <c r="E1101" s="303"/>
      <c r="F1101" s="302">
        <v>2.5779217275789033</v>
      </c>
      <c r="G1101" s="302">
        <v>9.4956389148711562</v>
      </c>
      <c r="H1101" s="302">
        <f t="shared" si="401"/>
        <v>12.07356064245006</v>
      </c>
      <c r="I1101" s="303"/>
      <c r="J1101" s="302">
        <v>6.0131345910025704</v>
      </c>
      <c r="K1101" s="302">
        <v>8.6692107875179474</v>
      </c>
      <c r="L1101" s="302">
        <f t="shared" si="402"/>
        <v>14.682345378520518</v>
      </c>
      <c r="M1101" s="236"/>
      <c r="N1101" s="236"/>
    </row>
    <row r="1102" spans="1:14" x14ac:dyDescent="0.3">
      <c r="A1102" s="237" t="str">
        <f>name!E$9</f>
        <v>Caring, leisure and other service occupations</v>
      </c>
      <c r="B1102" s="302">
        <v>35.149457987841942</v>
      </c>
      <c r="C1102" s="302">
        <v>11.854980992696175</v>
      </c>
      <c r="D1102" s="302">
        <f t="shared" si="400"/>
        <v>47.004438980538119</v>
      </c>
      <c r="E1102" s="303"/>
      <c r="F1102" s="302">
        <v>33.13622782100726</v>
      </c>
      <c r="G1102" s="302">
        <v>11.699785631596496</v>
      </c>
      <c r="H1102" s="302">
        <f t="shared" si="401"/>
        <v>44.836013452603758</v>
      </c>
      <c r="I1102" s="303"/>
      <c r="J1102" s="302">
        <v>36.869185894160289</v>
      </c>
      <c r="K1102" s="302">
        <v>12.88545697925306</v>
      </c>
      <c r="L1102" s="302">
        <f t="shared" si="402"/>
        <v>49.754642873413346</v>
      </c>
      <c r="M1102" s="236"/>
      <c r="N1102" s="236"/>
    </row>
    <row r="1103" spans="1:14" x14ac:dyDescent="0.3">
      <c r="A1103" s="237" t="str">
        <f>name!E$10</f>
        <v>Sales and customer service occupations</v>
      </c>
      <c r="B1103" s="302">
        <v>20.203755153114088</v>
      </c>
      <c r="C1103" s="302">
        <v>7.8442752105111415</v>
      </c>
      <c r="D1103" s="302">
        <f t="shared" si="400"/>
        <v>28.04803036362523</v>
      </c>
      <c r="E1103" s="303"/>
      <c r="F1103" s="302">
        <v>19.407393017783434</v>
      </c>
      <c r="G1103" s="302">
        <v>7.234496252538456</v>
      </c>
      <c r="H1103" s="302">
        <f t="shared" si="401"/>
        <v>26.64188927032189</v>
      </c>
      <c r="I1103" s="303"/>
      <c r="J1103" s="302">
        <v>22.687570069865917</v>
      </c>
      <c r="K1103" s="302">
        <v>9.4384555589818735</v>
      </c>
      <c r="L1103" s="302">
        <f t="shared" si="402"/>
        <v>32.126025628847792</v>
      </c>
      <c r="M1103" s="236"/>
      <c r="N1103" s="236"/>
    </row>
    <row r="1104" spans="1:14" x14ac:dyDescent="0.3">
      <c r="A1104" s="237" t="str">
        <f>name!E$11</f>
        <v>Process, plant and machine operatives</v>
      </c>
      <c r="B1104" s="302">
        <v>2.0606125663846693</v>
      </c>
      <c r="C1104" s="302">
        <v>9.6101977036931938</v>
      </c>
      <c r="D1104" s="302">
        <f t="shared" si="400"/>
        <v>11.670810270077864</v>
      </c>
      <c r="E1104" s="303"/>
      <c r="F1104" s="302">
        <v>1.6243091000650911</v>
      </c>
      <c r="G1104" s="302">
        <v>7.4064313005494826</v>
      </c>
      <c r="H1104" s="302">
        <f t="shared" si="401"/>
        <v>9.0307404006145742</v>
      </c>
      <c r="I1104" s="303"/>
      <c r="J1104" s="302">
        <v>3.356905099276398</v>
      </c>
      <c r="K1104" s="302">
        <v>7.9719035917103138</v>
      </c>
      <c r="L1104" s="302">
        <f t="shared" si="402"/>
        <v>11.328808690986712</v>
      </c>
      <c r="M1104" s="236"/>
      <c r="N1104" s="236"/>
    </row>
    <row r="1105" spans="1:14" x14ac:dyDescent="0.3">
      <c r="A1105" s="237" t="str">
        <f>name!E$12</f>
        <v>Elementary occupations</v>
      </c>
      <c r="B1105" s="302">
        <v>24.089502954774893</v>
      </c>
      <c r="C1105" s="302">
        <v>18.475802027580848</v>
      </c>
      <c r="D1105" s="302">
        <f t="shared" si="400"/>
        <v>42.565304982355741</v>
      </c>
      <c r="E1105" s="303"/>
      <c r="F1105" s="302">
        <v>19.528426038095887</v>
      </c>
      <c r="G1105" s="302">
        <v>14.020993530956531</v>
      </c>
      <c r="H1105" s="302">
        <f t="shared" si="401"/>
        <v>33.549419569052418</v>
      </c>
      <c r="I1105" s="303"/>
      <c r="J1105" s="302">
        <v>22.605076657113472</v>
      </c>
      <c r="K1105" s="302">
        <v>12.310468440180607</v>
      </c>
      <c r="L1105" s="302">
        <f t="shared" si="402"/>
        <v>34.915545097294078</v>
      </c>
      <c r="M1105" s="236"/>
      <c r="N1105" s="236"/>
    </row>
    <row r="1106" spans="1:14" x14ac:dyDescent="0.3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3">
      <c r="A1107" s="244" t="s">
        <v>32</v>
      </c>
      <c r="B1107" s="311">
        <f>SUM(B1097:B1105)</f>
        <v>599.69799999535314</v>
      </c>
      <c r="C1107" s="311">
        <f t="shared" ref="C1107:D1107" si="403">SUM(C1097:C1105)</f>
        <v>451.01099999663768</v>
      </c>
      <c r="D1107" s="311">
        <f t="shared" si="403"/>
        <v>1050.7089999919906</v>
      </c>
      <c r="E1107" s="311"/>
      <c r="F1107" s="311">
        <f t="shared" ref="F1107:H1107" si="404">SUM(F1097:F1105)</f>
        <v>629.16499999774874</v>
      </c>
      <c r="G1107" s="311">
        <f t="shared" si="404"/>
        <v>477.26799999883372</v>
      </c>
      <c r="H1107" s="311">
        <f t="shared" si="404"/>
        <v>1106.4329999965823</v>
      </c>
      <c r="I1107" s="311"/>
      <c r="J1107" s="311">
        <f t="shared" ref="J1107:L1107" si="405">SUM(J1097:J1105)</f>
        <v>668.33800000277108</v>
      </c>
      <c r="K1107" s="311">
        <f t="shared" si="405"/>
        <v>489.71000000052544</v>
      </c>
      <c r="L1107" s="311">
        <f t="shared" si="405"/>
        <v>1158.0480000032967</v>
      </c>
      <c r="M1107" s="236"/>
      <c r="N1107" s="236"/>
    </row>
    <row r="1108" spans="1:14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3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3">
      <c r="A1111" s="241" t="str">
        <f>name!A68</f>
        <v xml:space="preserve">Education </v>
      </c>
      <c r="B1111" s="373">
        <f>B$6</f>
        <v>2015</v>
      </c>
      <c r="C1111" s="373"/>
      <c r="D1111" s="373"/>
      <c r="E1111" s="253"/>
      <c r="F1111" s="373">
        <f>F$6</f>
        <v>2020</v>
      </c>
      <c r="G1111" s="373"/>
      <c r="H1111" s="373"/>
      <c r="I1111" s="253"/>
      <c r="J1111" s="373">
        <f>J$6</f>
        <v>2035</v>
      </c>
      <c r="K1111" s="373"/>
      <c r="L1111" s="373"/>
      <c r="M1111" s="236"/>
      <c r="N1111" s="236"/>
    </row>
    <row r="1112" spans="1:14" x14ac:dyDescent="0.3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3">
      <c r="A1114" s="237" t="str">
        <f>name!E$4</f>
        <v>Managers, directors and senior officials</v>
      </c>
      <c r="B1114" s="302">
        <v>31.587126163723944</v>
      </c>
      <c r="C1114" s="302">
        <v>34.714157960107791</v>
      </c>
      <c r="D1114" s="302">
        <f>SUM(B1114:C1114)</f>
        <v>66.301284123831735</v>
      </c>
      <c r="E1114" s="303"/>
      <c r="F1114" s="302">
        <v>37.453509320896394</v>
      </c>
      <c r="G1114" s="302">
        <v>33.823882741880034</v>
      </c>
      <c r="H1114" s="302">
        <f>SUM(F1114:G1114)</f>
        <v>71.277392062776428</v>
      </c>
      <c r="I1114" s="303"/>
      <c r="J1114" s="302">
        <v>43.002803301922839</v>
      </c>
      <c r="K1114" s="302">
        <v>33.053468545133015</v>
      </c>
      <c r="L1114" s="302">
        <f>SUM(J1114:K1114)</f>
        <v>76.056271847055854</v>
      </c>
      <c r="M1114" s="236"/>
      <c r="N1114" s="236"/>
    </row>
    <row r="1115" spans="1:14" x14ac:dyDescent="0.3">
      <c r="A1115" s="237" t="str">
        <f>name!E$5</f>
        <v>Professional occupations</v>
      </c>
      <c r="B1115" s="302">
        <v>819.60358347286433</v>
      </c>
      <c r="C1115" s="302">
        <v>478.19467873907234</v>
      </c>
      <c r="D1115" s="302">
        <f t="shared" ref="D1115:D1122" si="406">SUM(B1115:C1115)</f>
        <v>1297.7982622119366</v>
      </c>
      <c r="E1115" s="303"/>
      <c r="F1115" s="302">
        <v>914.98329906946674</v>
      </c>
      <c r="G1115" s="302">
        <v>486.9504422931758</v>
      </c>
      <c r="H1115" s="302">
        <f t="shared" ref="H1115:H1122" si="407">SUM(F1115:G1115)</f>
        <v>1401.9337413626426</v>
      </c>
      <c r="I1115" s="303"/>
      <c r="J1115" s="302">
        <v>1046.0846061379364</v>
      </c>
      <c r="K1115" s="302">
        <v>528.01394129354253</v>
      </c>
      <c r="L1115" s="302">
        <f t="shared" ref="L1115:L1122" si="408">SUM(J1115:K1115)</f>
        <v>1574.0985474314789</v>
      </c>
      <c r="M1115" s="236"/>
      <c r="N1115" s="236"/>
    </row>
    <row r="1116" spans="1:14" x14ac:dyDescent="0.3">
      <c r="A1116" s="237" t="str">
        <f>name!E$6</f>
        <v>Associate professional occupations</v>
      </c>
      <c r="B1116" s="302">
        <v>119.06842535917734</v>
      </c>
      <c r="C1116" s="302">
        <v>83.566762417019589</v>
      </c>
      <c r="D1116" s="302">
        <f t="shared" si="406"/>
        <v>202.63518777619691</v>
      </c>
      <c r="E1116" s="303"/>
      <c r="F1116" s="302">
        <v>126.20650016793367</v>
      </c>
      <c r="G1116" s="302">
        <v>81.298198406029314</v>
      </c>
      <c r="H1116" s="302">
        <f t="shared" si="407"/>
        <v>207.50469857396297</v>
      </c>
      <c r="I1116" s="303"/>
      <c r="J1116" s="302">
        <v>134.49734243769598</v>
      </c>
      <c r="K1116" s="302">
        <v>64.097788732137005</v>
      </c>
      <c r="L1116" s="302">
        <f t="shared" si="408"/>
        <v>198.595131169833</v>
      </c>
      <c r="M1116" s="236"/>
      <c r="N1116" s="236"/>
    </row>
    <row r="1117" spans="1:14" x14ac:dyDescent="0.3">
      <c r="A1117" s="237" t="str">
        <f>name!E$7</f>
        <v>Administrative and secretarial occupations</v>
      </c>
      <c r="B1117" s="302">
        <v>130.11837641292428</v>
      </c>
      <c r="C1117" s="302">
        <v>23.479030308947895</v>
      </c>
      <c r="D1117" s="302">
        <f t="shared" si="406"/>
        <v>153.59740672187218</v>
      </c>
      <c r="E1117" s="303"/>
      <c r="F1117" s="302">
        <v>114.71332026422911</v>
      </c>
      <c r="G1117" s="302">
        <v>19.229235805638098</v>
      </c>
      <c r="H1117" s="302">
        <f t="shared" si="407"/>
        <v>133.94255606986721</v>
      </c>
      <c r="I1117" s="303"/>
      <c r="J1117" s="302">
        <v>55.505619068508722</v>
      </c>
      <c r="K1117" s="302">
        <v>16.652184836473719</v>
      </c>
      <c r="L1117" s="302">
        <f t="shared" si="408"/>
        <v>72.157803904982444</v>
      </c>
      <c r="M1117" s="236"/>
      <c r="N1117" s="236"/>
    </row>
    <row r="1118" spans="1:14" x14ac:dyDescent="0.3">
      <c r="A1118" s="237" t="str">
        <f>name!E$8</f>
        <v>Skilled trades occupations</v>
      </c>
      <c r="B1118" s="302">
        <v>17.927525939251925</v>
      </c>
      <c r="C1118" s="302">
        <v>20.145835189784396</v>
      </c>
      <c r="D1118" s="302">
        <f t="shared" si="406"/>
        <v>38.073361129036321</v>
      </c>
      <c r="E1118" s="303"/>
      <c r="F1118" s="302">
        <v>14.814309107628171</v>
      </c>
      <c r="G1118" s="302">
        <v>12.927494650803821</v>
      </c>
      <c r="H1118" s="302">
        <f t="shared" si="407"/>
        <v>27.741803758431992</v>
      </c>
      <c r="I1118" s="303"/>
      <c r="J1118" s="302">
        <v>10.349059932904488</v>
      </c>
      <c r="K1118" s="302">
        <v>10.745555757629811</v>
      </c>
      <c r="L1118" s="302">
        <f t="shared" si="408"/>
        <v>21.094615690534297</v>
      </c>
      <c r="M1118" s="236"/>
      <c r="N1118" s="236"/>
    </row>
    <row r="1119" spans="1:14" x14ac:dyDescent="0.3">
      <c r="A1119" s="237" t="str">
        <f>name!E$9</f>
        <v>Caring, leisure and other service occupations</v>
      </c>
      <c r="B1119" s="302">
        <v>480.52996500412507</v>
      </c>
      <c r="C1119" s="302">
        <v>63.753098546655437</v>
      </c>
      <c r="D1119" s="302">
        <f t="shared" si="406"/>
        <v>544.28306355078053</v>
      </c>
      <c r="E1119" s="303"/>
      <c r="F1119" s="302">
        <v>447.63119596393204</v>
      </c>
      <c r="G1119" s="302">
        <v>56.795248532683374</v>
      </c>
      <c r="H1119" s="302">
        <f t="shared" si="407"/>
        <v>504.42644449661543</v>
      </c>
      <c r="I1119" s="303"/>
      <c r="J1119" s="302">
        <v>492.59930496681307</v>
      </c>
      <c r="K1119" s="302">
        <v>62.532356960384412</v>
      </c>
      <c r="L1119" s="302">
        <f t="shared" si="408"/>
        <v>555.13166192719746</v>
      </c>
      <c r="M1119" s="236"/>
      <c r="N1119" s="236"/>
    </row>
    <row r="1120" spans="1:14" x14ac:dyDescent="0.3">
      <c r="A1120" s="237" t="str">
        <f>name!E$10</f>
        <v>Sales and customer service occupations</v>
      </c>
      <c r="B1120" s="302">
        <v>12.017599586405613</v>
      </c>
      <c r="C1120" s="302">
        <v>5.0225426131510069</v>
      </c>
      <c r="D1120" s="302">
        <f t="shared" si="406"/>
        <v>17.04014219955662</v>
      </c>
      <c r="E1120" s="303"/>
      <c r="F1120" s="302">
        <v>10.385963005633625</v>
      </c>
      <c r="G1120" s="302">
        <v>3.9399159122140013</v>
      </c>
      <c r="H1120" s="302">
        <f t="shared" si="407"/>
        <v>14.325878917847627</v>
      </c>
      <c r="I1120" s="303"/>
      <c r="J1120" s="302">
        <v>9.9733847500245112</v>
      </c>
      <c r="K1120" s="302">
        <v>4.4320065552268826</v>
      </c>
      <c r="L1120" s="302">
        <f t="shared" si="408"/>
        <v>14.405391305251394</v>
      </c>
      <c r="M1120" s="236"/>
      <c r="N1120" s="236"/>
    </row>
    <row r="1121" spans="1:14" x14ac:dyDescent="0.3">
      <c r="A1121" s="237" t="str">
        <f>name!E$11</f>
        <v>Process, plant and machine operatives</v>
      </c>
      <c r="B1121" s="302">
        <v>12.358457696081764</v>
      </c>
      <c r="C1121" s="302">
        <v>38.630934564226635</v>
      </c>
      <c r="D1121" s="302">
        <f t="shared" si="406"/>
        <v>50.989392260308399</v>
      </c>
      <c r="E1121" s="303"/>
      <c r="F1121" s="302">
        <v>12.817717375544511</v>
      </c>
      <c r="G1121" s="302">
        <v>40.035243317668183</v>
      </c>
      <c r="H1121" s="302">
        <f t="shared" si="407"/>
        <v>52.852960693212694</v>
      </c>
      <c r="I1121" s="303"/>
      <c r="J1121" s="302">
        <v>13.704782240998785</v>
      </c>
      <c r="K1121" s="302">
        <v>44.749856741213563</v>
      </c>
      <c r="L1121" s="302">
        <f t="shared" si="408"/>
        <v>58.454638982212344</v>
      </c>
      <c r="M1121" s="236"/>
      <c r="N1121" s="236"/>
    </row>
    <row r="1122" spans="1:14" x14ac:dyDescent="0.3">
      <c r="A1122" s="237" t="str">
        <f>name!E$12</f>
        <v>Elementary occupations</v>
      </c>
      <c r="B1122" s="302">
        <v>129.87294034270363</v>
      </c>
      <c r="C1122" s="302">
        <v>26.724959666728285</v>
      </c>
      <c r="D1122" s="302">
        <f t="shared" si="406"/>
        <v>156.59790000943192</v>
      </c>
      <c r="E1122" s="303"/>
      <c r="F1122" s="302">
        <v>100.20918571058304</v>
      </c>
      <c r="G1122" s="302">
        <v>17.565338363893744</v>
      </c>
      <c r="H1122" s="302">
        <f t="shared" si="407"/>
        <v>117.77452407447679</v>
      </c>
      <c r="I1122" s="303"/>
      <c r="J1122" s="302">
        <v>48.841097194509132</v>
      </c>
      <c r="K1122" s="302">
        <v>14.397840580391355</v>
      </c>
      <c r="L1122" s="302">
        <f t="shared" si="408"/>
        <v>63.238937774900485</v>
      </c>
      <c r="M1122" s="236"/>
      <c r="N1122" s="236"/>
    </row>
    <row r="1123" spans="1:14" x14ac:dyDescent="0.3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3">
      <c r="A1124" s="244" t="s">
        <v>32</v>
      </c>
      <c r="B1124" s="311">
        <f>SUM(B1114:B1122)</f>
        <v>1753.0839999772581</v>
      </c>
      <c r="C1124" s="311">
        <f t="shared" ref="C1124:D1124" si="409">SUM(C1114:C1122)</f>
        <v>774.23200000569352</v>
      </c>
      <c r="D1124" s="311">
        <f t="shared" si="409"/>
        <v>2527.3159999829513</v>
      </c>
      <c r="E1124" s="311"/>
      <c r="F1124" s="311">
        <f t="shared" ref="F1124:H1124" si="410">SUM(F1114:F1122)</f>
        <v>1779.2149999858475</v>
      </c>
      <c r="G1124" s="311">
        <f t="shared" si="410"/>
        <v>752.5650000239865</v>
      </c>
      <c r="H1124" s="311">
        <f t="shared" si="410"/>
        <v>2531.7800000098332</v>
      </c>
      <c r="I1124" s="311"/>
      <c r="J1124" s="311">
        <f t="shared" ref="J1124:L1124" si="411">SUM(J1114:J1122)</f>
        <v>1854.5580000313139</v>
      </c>
      <c r="K1124" s="311">
        <f t="shared" si="411"/>
        <v>778.67500000213226</v>
      </c>
      <c r="L1124" s="311">
        <f t="shared" si="411"/>
        <v>2633.2330000334455</v>
      </c>
      <c r="M1124" s="236"/>
      <c r="N1124" s="236"/>
    </row>
    <row r="1125" spans="1:14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3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3">
      <c r="A1128" s="241" t="str">
        <f>name!A69</f>
        <v>Health</v>
      </c>
      <c r="B1128" s="373">
        <f>B$6</f>
        <v>2015</v>
      </c>
      <c r="C1128" s="373"/>
      <c r="D1128" s="373"/>
      <c r="E1128" s="253"/>
      <c r="F1128" s="373">
        <f>F$6</f>
        <v>2020</v>
      </c>
      <c r="G1128" s="373"/>
      <c r="H1128" s="373"/>
      <c r="I1128" s="253"/>
      <c r="J1128" s="373">
        <f>J$6</f>
        <v>2035</v>
      </c>
      <c r="K1128" s="373"/>
      <c r="L1128" s="373"/>
      <c r="M1128" s="236"/>
      <c r="N1128" s="236"/>
    </row>
    <row r="1129" spans="1:14" x14ac:dyDescent="0.3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3">
      <c r="A1131" s="237" t="str">
        <f>name!E$4</f>
        <v>Managers, directors and senior officials</v>
      </c>
      <c r="B1131" s="302">
        <v>52.477586741987793</v>
      </c>
      <c r="C1131" s="302">
        <v>33.260748443192178</v>
      </c>
      <c r="D1131" s="302">
        <f>SUM(B1131:C1131)</f>
        <v>85.738335185179977</v>
      </c>
      <c r="E1131" s="303"/>
      <c r="F1131" s="302">
        <v>68.568150861960561</v>
      </c>
      <c r="G1131" s="302">
        <v>39.722959325241874</v>
      </c>
      <c r="H1131" s="302">
        <f>SUM(F1131:G1131)</f>
        <v>108.29111018720243</v>
      </c>
      <c r="I1131" s="303"/>
      <c r="J1131" s="302">
        <v>88.138801788299958</v>
      </c>
      <c r="K1131" s="302">
        <v>40.520550530135225</v>
      </c>
      <c r="L1131" s="302">
        <f>SUM(J1131:K1131)</f>
        <v>128.6593523184352</v>
      </c>
      <c r="M1131" s="236"/>
      <c r="N1131" s="236"/>
    </row>
    <row r="1132" spans="1:14" x14ac:dyDescent="0.3">
      <c r="A1132" s="237" t="str">
        <f>name!E$5</f>
        <v>Professional occupations</v>
      </c>
      <c r="B1132" s="302">
        <v>441.34659500476562</v>
      </c>
      <c r="C1132" s="302">
        <v>164.94421810700968</v>
      </c>
      <c r="D1132" s="302">
        <f t="shared" ref="D1132:D1139" si="412">SUM(B1132:C1132)</f>
        <v>606.29081311177526</v>
      </c>
      <c r="E1132" s="303"/>
      <c r="F1132" s="302">
        <v>542.5628251726049</v>
      </c>
      <c r="G1132" s="302">
        <v>210.34063495958785</v>
      </c>
      <c r="H1132" s="302">
        <f t="shared" ref="H1132:H1139" si="413">SUM(F1132:G1132)</f>
        <v>752.90346013219278</v>
      </c>
      <c r="I1132" s="303"/>
      <c r="J1132" s="302">
        <v>680.39258449459874</v>
      </c>
      <c r="K1132" s="302">
        <v>234.16249244344226</v>
      </c>
      <c r="L1132" s="302">
        <f t="shared" ref="L1132:L1139" si="414">SUM(J1132:K1132)</f>
        <v>914.555076938041</v>
      </c>
      <c r="M1132" s="236"/>
      <c r="N1132" s="236"/>
    </row>
    <row r="1133" spans="1:14" x14ac:dyDescent="0.3">
      <c r="A1133" s="237" t="str">
        <f>name!E$6</f>
        <v>Associate professional occupations</v>
      </c>
      <c r="B1133" s="302">
        <v>191.98226617493907</v>
      </c>
      <c r="C1133" s="302">
        <v>69.854703480153105</v>
      </c>
      <c r="D1133" s="302">
        <f t="shared" si="412"/>
        <v>261.83696965509216</v>
      </c>
      <c r="E1133" s="303"/>
      <c r="F1133" s="302">
        <v>234.32030750526278</v>
      </c>
      <c r="G1133" s="302">
        <v>80.105584925979116</v>
      </c>
      <c r="H1133" s="302">
        <f t="shared" si="413"/>
        <v>314.42589243124189</v>
      </c>
      <c r="I1133" s="303"/>
      <c r="J1133" s="302">
        <v>273.83503013001081</v>
      </c>
      <c r="K1133" s="302">
        <v>76.860331715247028</v>
      </c>
      <c r="L1133" s="302">
        <f t="shared" si="414"/>
        <v>350.69536184525782</v>
      </c>
      <c r="M1133" s="236"/>
      <c r="N1133" s="236"/>
    </row>
    <row r="1134" spans="1:14" x14ac:dyDescent="0.3">
      <c r="A1134" s="237" t="str">
        <f>name!E$7</f>
        <v>Administrative and secretarial occupations</v>
      </c>
      <c r="B1134" s="302">
        <v>161.49088239028816</v>
      </c>
      <c r="C1134" s="302">
        <v>24.890146306407576</v>
      </c>
      <c r="D1134" s="302">
        <f t="shared" si="412"/>
        <v>186.38102869669575</v>
      </c>
      <c r="E1134" s="303"/>
      <c r="F1134" s="302">
        <v>160.15485701104916</v>
      </c>
      <c r="G1134" s="302">
        <v>26.175724280405028</v>
      </c>
      <c r="H1134" s="302">
        <f t="shared" si="413"/>
        <v>186.33058129145419</v>
      </c>
      <c r="I1134" s="303"/>
      <c r="J1134" s="302">
        <v>100.7803756536007</v>
      </c>
      <c r="K1134" s="302">
        <v>24.159880968003499</v>
      </c>
      <c r="L1134" s="302">
        <f t="shared" si="414"/>
        <v>124.94025662160419</v>
      </c>
      <c r="M1134" s="236"/>
      <c r="N1134" s="236"/>
    </row>
    <row r="1135" spans="1:14" x14ac:dyDescent="0.3">
      <c r="A1135" s="237" t="str">
        <f>name!E$8</f>
        <v>Skilled trades occupations</v>
      </c>
      <c r="B1135" s="302">
        <v>10.700101823097501</v>
      </c>
      <c r="C1135" s="302">
        <v>14.105272663205675</v>
      </c>
      <c r="D1135" s="302">
        <f t="shared" si="412"/>
        <v>24.805374486303176</v>
      </c>
      <c r="E1135" s="303"/>
      <c r="F1135" s="302">
        <v>9.7699772722462939</v>
      </c>
      <c r="G1135" s="302">
        <v>12.073221792984135</v>
      </c>
      <c r="H1135" s="302">
        <f t="shared" si="413"/>
        <v>21.843199065230429</v>
      </c>
      <c r="I1135" s="303"/>
      <c r="J1135" s="302">
        <v>7.4154728701271706</v>
      </c>
      <c r="K1135" s="302">
        <v>10.256203142664818</v>
      </c>
      <c r="L1135" s="302">
        <f t="shared" si="414"/>
        <v>17.671676012791988</v>
      </c>
      <c r="M1135" s="236"/>
      <c r="N1135" s="236"/>
    </row>
    <row r="1136" spans="1:14" x14ac:dyDescent="0.3">
      <c r="A1136" s="237" t="str">
        <f>name!E$9</f>
        <v>Caring, leisure and other service occupations</v>
      </c>
      <c r="B1136" s="302">
        <v>588.47077564211475</v>
      </c>
      <c r="C1136" s="302">
        <v>107.96336912206762</v>
      </c>
      <c r="D1136" s="302">
        <f t="shared" si="412"/>
        <v>696.43414476418241</v>
      </c>
      <c r="E1136" s="303"/>
      <c r="F1136" s="302">
        <v>627.57315668330295</v>
      </c>
      <c r="G1136" s="302">
        <v>117.53984458795004</v>
      </c>
      <c r="H1136" s="302">
        <f t="shared" si="413"/>
        <v>745.11300127125298</v>
      </c>
      <c r="I1136" s="303"/>
      <c r="J1136" s="302">
        <v>729.7310378501395</v>
      </c>
      <c r="K1136" s="302">
        <v>170.35976705064593</v>
      </c>
      <c r="L1136" s="302">
        <f t="shared" si="414"/>
        <v>900.09080490078543</v>
      </c>
      <c r="M1136" s="236"/>
      <c r="N1136" s="236"/>
    </row>
    <row r="1137" spans="1:14" x14ac:dyDescent="0.3">
      <c r="A1137" s="237" t="str">
        <f>name!E$10</f>
        <v>Sales and customer service occupations</v>
      </c>
      <c r="B1137" s="302">
        <v>21.411930020033616</v>
      </c>
      <c r="C1137" s="302">
        <v>5.664673588766032</v>
      </c>
      <c r="D1137" s="302">
        <f t="shared" si="412"/>
        <v>27.076603608799648</v>
      </c>
      <c r="E1137" s="303"/>
      <c r="F1137" s="302">
        <v>21.438465812176744</v>
      </c>
      <c r="G1137" s="302">
        <v>5.4056386806390586</v>
      </c>
      <c r="H1137" s="302">
        <f t="shared" si="413"/>
        <v>26.844104492815802</v>
      </c>
      <c r="I1137" s="303"/>
      <c r="J1137" s="302">
        <v>24.628813820368684</v>
      </c>
      <c r="K1137" s="302">
        <v>5.5601949202126439</v>
      </c>
      <c r="L1137" s="302">
        <f t="shared" si="414"/>
        <v>30.189008740581329</v>
      </c>
      <c r="M1137" s="236"/>
      <c r="N1137" s="236"/>
    </row>
    <row r="1138" spans="1:14" x14ac:dyDescent="0.3">
      <c r="A1138" s="237" t="str">
        <f>name!E$11</f>
        <v>Process, plant and machine operatives</v>
      </c>
      <c r="B1138" s="302">
        <v>3.7644565250999413</v>
      </c>
      <c r="C1138" s="302">
        <v>7.023464723285926</v>
      </c>
      <c r="D1138" s="302">
        <f t="shared" si="412"/>
        <v>10.787921248385867</v>
      </c>
      <c r="E1138" s="303"/>
      <c r="F1138" s="302">
        <v>3.1793349316516437</v>
      </c>
      <c r="G1138" s="302">
        <v>6.6746721895577377</v>
      </c>
      <c r="H1138" s="302">
        <f t="shared" si="413"/>
        <v>9.8540071212093814</v>
      </c>
      <c r="I1138" s="303"/>
      <c r="J1138" s="302">
        <v>2.5074739905237502</v>
      </c>
      <c r="K1138" s="302">
        <v>5.523725971279978</v>
      </c>
      <c r="L1138" s="302">
        <f t="shared" si="414"/>
        <v>8.0311999618037291</v>
      </c>
      <c r="M1138" s="236"/>
      <c r="N1138" s="236"/>
    </row>
    <row r="1139" spans="1:14" x14ac:dyDescent="0.3">
      <c r="A1139" s="237" t="str">
        <f>name!E$12</f>
        <v>Elementary occupations</v>
      </c>
      <c r="B1139" s="302">
        <v>37.334405653486307</v>
      </c>
      <c r="C1139" s="302">
        <v>19.471403564752809</v>
      </c>
      <c r="D1139" s="302">
        <f t="shared" si="412"/>
        <v>56.805809218239119</v>
      </c>
      <c r="E1139" s="303"/>
      <c r="F1139" s="302">
        <v>31.152924743798543</v>
      </c>
      <c r="G1139" s="302">
        <v>16.265719259201816</v>
      </c>
      <c r="H1139" s="302">
        <f t="shared" si="413"/>
        <v>47.41864400300036</v>
      </c>
      <c r="I1139" s="303"/>
      <c r="J1139" s="302">
        <v>19.376409397468414</v>
      </c>
      <c r="K1139" s="302">
        <v>12.053853262592016</v>
      </c>
      <c r="L1139" s="302">
        <f t="shared" si="414"/>
        <v>31.430262660060428</v>
      </c>
      <c r="M1139" s="236"/>
      <c r="N1139" s="236"/>
    </row>
    <row r="1140" spans="1:14" x14ac:dyDescent="0.3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3">
      <c r="A1141" s="244" t="s">
        <v>32</v>
      </c>
      <c r="B1141" s="311">
        <f>SUM(B1131:B1139)</f>
        <v>1508.9789999758127</v>
      </c>
      <c r="C1141" s="311">
        <f t="shared" ref="C1141:D1141" si="415">SUM(C1131:C1139)</f>
        <v>447.17799999884056</v>
      </c>
      <c r="D1141" s="311">
        <f t="shared" si="415"/>
        <v>1956.1569999746532</v>
      </c>
      <c r="E1141" s="311"/>
      <c r="F1141" s="311">
        <f t="shared" ref="F1141:H1141" si="416">SUM(F1131:F1139)</f>
        <v>1698.7199999940538</v>
      </c>
      <c r="G1141" s="311">
        <f t="shared" si="416"/>
        <v>514.30400000154657</v>
      </c>
      <c r="H1141" s="311">
        <f t="shared" si="416"/>
        <v>2213.0239999956002</v>
      </c>
      <c r="I1141" s="311"/>
      <c r="J1141" s="311">
        <f t="shared" ref="J1141:L1141" si="417">SUM(J1131:J1139)</f>
        <v>1926.8059999951377</v>
      </c>
      <c r="K1141" s="311">
        <f t="shared" si="417"/>
        <v>579.45700000422346</v>
      </c>
      <c r="L1141" s="311">
        <f t="shared" si="417"/>
        <v>2506.2629999993615</v>
      </c>
      <c r="M1141" s="236"/>
      <c r="N1141" s="236"/>
    </row>
    <row r="1142" spans="1:14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3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3">
      <c r="A1145" s="241" t="str">
        <f>name!A70</f>
        <v>Residential care</v>
      </c>
      <c r="B1145" s="373">
        <f>B$6</f>
        <v>2015</v>
      </c>
      <c r="C1145" s="373"/>
      <c r="D1145" s="373"/>
      <c r="E1145" s="253"/>
      <c r="F1145" s="373">
        <f>F$6</f>
        <v>2020</v>
      </c>
      <c r="G1145" s="373"/>
      <c r="H1145" s="373"/>
      <c r="I1145" s="253"/>
      <c r="J1145" s="373">
        <f>J$6</f>
        <v>2035</v>
      </c>
      <c r="K1145" s="373"/>
      <c r="L1145" s="373"/>
      <c r="M1145" s="236"/>
      <c r="N1145" s="236"/>
    </row>
    <row r="1146" spans="1:14" x14ac:dyDescent="0.3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3">
      <c r="A1148" s="237" t="str">
        <f>name!E$4</f>
        <v>Managers, directors and senior officials</v>
      </c>
      <c r="B1148" s="302">
        <v>18.427750114391049</v>
      </c>
      <c r="C1148" s="302">
        <v>9.9725959077469923</v>
      </c>
      <c r="D1148" s="302">
        <f>SUM(B1148:C1148)</f>
        <v>28.400346022138041</v>
      </c>
      <c r="E1148" s="303"/>
      <c r="F1148" s="302">
        <v>20.936762753293301</v>
      </c>
      <c r="G1148" s="302">
        <v>8.76081274459548</v>
      </c>
      <c r="H1148" s="302">
        <f>SUM(F1148:G1148)</f>
        <v>29.697575497888781</v>
      </c>
      <c r="I1148" s="303"/>
      <c r="J1148" s="302">
        <v>28.234958602525616</v>
      </c>
      <c r="K1148" s="302">
        <v>9.3294621216474791</v>
      </c>
      <c r="L1148" s="302">
        <f>SUM(J1148:K1148)</f>
        <v>37.564420724173097</v>
      </c>
      <c r="M1148" s="236"/>
      <c r="N1148" s="236"/>
    </row>
    <row r="1149" spans="1:14" x14ac:dyDescent="0.3">
      <c r="A1149" s="237" t="str">
        <f>name!E$5</f>
        <v>Professional occupations</v>
      </c>
      <c r="B1149" s="302">
        <v>151.15013780460484</v>
      </c>
      <c r="C1149" s="302">
        <v>46.891874079718136</v>
      </c>
      <c r="D1149" s="302">
        <f t="shared" ref="D1149:D1156" si="418">SUM(B1149:C1149)</f>
        <v>198.04201188432296</v>
      </c>
      <c r="E1149" s="303"/>
      <c r="F1149" s="302">
        <v>160.94792544704876</v>
      </c>
      <c r="G1149" s="302">
        <v>47.362772006960355</v>
      </c>
      <c r="H1149" s="302">
        <f t="shared" ref="H1149:H1156" si="419">SUM(F1149:G1149)</f>
        <v>208.31069745400913</v>
      </c>
      <c r="I1149" s="303"/>
      <c r="J1149" s="302">
        <v>208.48656899259248</v>
      </c>
      <c r="K1149" s="302">
        <v>55.129353638565682</v>
      </c>
      <c r="L1149" s="302">
        <f t="shared" ref="L1149:L1156" si="420">SUM(J1149:K1149)</f>
        <v>263.61592263115818</v>
      </c>
      <c r="M1149" s="236"/>
      <c r="N1149" s="236"/>
    </row>
    <row r="1150" spans="1:14" x14ac:dyDescent="0.3">
      <c r="A1150" s="237" t="str">
        <f>name!E$6</f>
        <v>Associate professional occupations</v>
      </c>
      <c r="B1150" s="302">
        <v>67.239410377545397</v>
      </c>
      <c r="C1150" s="302">
        <v>21.849807150148642</v>
      </c>
      <c r="D1150" s="302">
        <f t="shared" si="418"/>
        <v>89.089217527694046</v>
      </c>
      <c r="E1150" s="303"/>
      <c r="F1150" s="302">
        <v>69.879348940334083</v>
      </c>
      <c r="G1150" s="302">
        <v>19.938052893665038</v>
      </c>
      <c r="H1150" s="302">
        <f t="shared" si="419"/>
        <v>89.817401833999128</v>
      </c>
      <c r="I1150" s="303"/>
      <c r="J1150" s="302">
        <v>83.666778263137928</v>
      </c>
      <c r="K1150" s="302">
        <v>19.157125104458537</v>
      </c>
      <c r="L1150" s="302">
        <f t="shared" si="420"/>
        <v>102.82390336759647</v>
      </c>
      <c r="M1150" s="236"/>
      <c r="N1150" s="236"/>
    </row>
    <row r="1151" spans="1:14" x14ac:dyDescent="0.3">
      <c r="A1151" s="237" t="str">
        <f>name!E$7</f>
        <v>Administrative and secretarial occupations</v>
      </c>
      <c r="B1151" s="302">
        <v>57.398993246285784</v>
      </c>
      <c r="C1151" s="302">
        <v>9.5402300569307776</v>
      </c>
      <c r="D1151" s="302">
        <f t="shared" si="418"/>
        <v>66.939223303216565</v>
      </c>
      <c r="E1151" s="303"/>
      <c r="F1151" s="302">
        <v>48.224013853375929</v>
      </c>
      <c r="G1151" s="302">
        <v>7.6226435500124774</v>
      </c>
      <c r="H1151" s="302">
        <f t="shared" si="419"/>
        <v>55.846657403388406</v>
      </c>
      <c r="I1151" s="303"/>
      <c r="J1151" s="302">
        <v>31.087986320838311</v>
      </c>
      <c r="K1151" s="302">
        <v>7.1898884562992498</v>
      </c>
      <c r="L1151" s="302">
        <f t="shared" si="420"/>
        <v>38.277874777137562</v>
      </c>
      <c r="M1151" s="236"/>
      <c r="N1151" s="236"/>
    </row>
    <row r="1152" spans="1:14" x14ac:dyDescent="0.3">
      <c r="A1152" s="237" t="str">
        <f>name!E$8</f>
        <v>Skilled trades occupations</v>
      </c>
      <c r="B1152" s="302">
        <v>3.8395569410695489</v>
      </c>
      <c r="C1152" s="302">
        <v>4.5654902462092029</v>
      </c>
      <c r="D1152" s="302">
        <f t="shared" si="418"/>
        <v>8.4050471872787522</v>
      </c>
      <c r="E1152" s="303"/>
      <c r="F1152" s="302">
        <v>2.9461206156235185</v>
      </c>
      <c r="G1152" s="302">
        <v>2.757437503589546</v>
      </c>
      <c r="H1152" s="302">
        <f t="shared" si="419"/>
        <v>5.7035581192130644</v>
      </c>
      <c r="I1152" s="303"/>
      <c r="J1152" s="302">
        <v>2.2219189400240884</v>
      </c>
      <c r="K1152" s="302">
        <v>2.3967766965495274</v>
      </c>
      <c r="L1152" s="302">
        <f t="shared" si="420"/>
        <v>4.6186956365736158</v>
      </c>
      <c r="M1152" s="236"/>
      <c r="N1152" s="236"/>
    </row>
    <row r="1153" spans="1:14" x14ac:dyDescent="0.3">
      <c r="A1153" s="237" t="str">
        <f>name!E$9</f>
        <v>Caring, leisure and other service occupations</v>
      </c>
      <c r="B1153" s="302">
        <v>208.57587873009561</v>
      </c>
      <c r="C1153" s="302">
        <v>37.073719540810863</v>
      </c>
      <c r="D1153" s="302">
        <f t="shared" si="418"/>
        <v>245.64959827090647</v>
      </c>
      <c r="E1153" s="303"/>
      <c r="F1153" s="302">
        <v>189.70981509886931</v>
      </c>
      <c r="G1153" s="302">
        <v>31.842694633327614</v>
      </c>
      <c r="H1153" s="302">
        <f t="shared" si="419"/>
        <v>221.55250973219694</v>
      </c>
      <c r="I1153" s="303"/>
      <c r="J1153" s="302">
        <v>223.3150905677949</v>
      </c>
      <c r="K1153" s="302">
        <v>45.41607956750132</v>
      </c>
      <c r="L1153" s="302">
        <f t="shared" si="420"/>
        <v>268.73117013529622</v>
      </c>
      <c r="M1153" s="236"/>
      <c r="N1153" s="236"/>
    </row>
    <row r="1154" spans="1:14" x14ac:dyDescent="0.3">
      <c r="A1154" s="237" t="str">
        <f>name!E$10</f>
        <v>Sales and customer service occupations</v>
      </c>
      <c r="B1154" s="302">
        <v>7.5596459324812226</v>
      </c>
      <c r="C1154" s="302">
        <v>2.0632277671717296</v>
      </c>
      <c r="D1154" s="302">
        <f t="shared" si="418"/>
        <v>9.6228736996529527</v>
      </c>
      <c r="E1154" s="303"/>
      <c r="F1154" s="302">
        <v>6.3623064974783432</v>
      </c>
      <c r="G1154" s="302">
        <v>1.4209551719365054</v>
      </c>
      <c r="H1154" s="302">
        <f t="shared" si="419"/>
        <v>7.7832616694148484</v>
      </c>
      <c r="I1154" s="303"/>
      <c r="J1154" s="302">
        <v>7.4126882200771123</v>
      </c>
      <c r="K1154" s="302">
        <v>1.5236824495082517</v>
      </c>
      <c r="L1154" s="302">
        <f t="shared" si="420"/>
        <v>8.9363706695853633</v>
      </c>
      <c r="M1154" s="236"/>
      <c r="N1154" s="236"/>
    </row>
    <row r="1155" spans="1:14" x14ac:dyDescent="0.3">
      <c r="A1155" s="237" t="str">
        <f>name!E$11</f>
        <v>Process, plant and machine operatives</v>
      </c>
      <c r="B1155" s="302">
        <v>1.3328069672542975</v>
      </c>
      <c r="C1155" s="302">
        <v>3.1533311306251615</v>
      </c>
      <c r="D1155" s="302">
        <f t="shared" si="418"/>
        <v>4.4861380978794587</v>
      </c>
      <c r="E1155" s="303"/>
      <c r="F1155" s="302">
        <v>0.94949116451025084</v>
      </c>
      <c r="G1155" s="302">
        <v>2.1653530588286469</v>
      </c>
      <c r="H1155" s="302">
        <f t="shared" si="419"/>
        <v>3.1148442233388978</v>
      </c>
      <c r="I1155" s="303"/>
      <c r="J1155" s="302">
        <v>0.72096449847365518</v>
      </c>
      <c r="K1155" s="302">
        <v>1.7276605946844426</v>
      </c>
      <c r="L1155" s="302">
        <f t="shared" si="420"/>
        <v>2.448625093158098</v>
      </c>
      <c r="M1155" s="236"/>
      <c r="N1155" s="236"/>
    </row>
    <row r="1156" spans="1:14" x14ac:dyDescent="0.3">
      <c r="A1156" s="237" t="str">
        <f>name!E$12</f>
        <v>Elementary occupations</v>
      </c>
      <c r="B1156" s="302">
        <v>13.313819876983837</v>
      </c>
      <c r="C1156" s="302">
        <v>8.5847241199283459</v>
      </c>
      <c r="D1156" s="302">
        <f t="shared" si="418"/>
        <v>21.898543996912181</v>
      </c>
      <c r="E1156" s="303"/>
      <c r="F1156" s="302">
        <v>9.1262156287370377</v>
      </c>
      <c r="G1156" s="302">
        <v>5.0812784368506527</v>
      </c>
      <c r="H1156" s="302">
        <f t="shared" si="419"/>
        <v>14.20749406558769</v>
      </c>
      <c r="I1156" s="303"/>
      <c r="J1156" s="302">
        <v>5.666045593134359</v>
      </c>
      <c r="K1156" s="302">
        <v>3.5719713708973733</v>
      </c>
      <c r="L1156" s="302">
        <f t="shared" si="420"/>
        <v>9.2380169640317327</v>
      </c>
      <c r="M1156" s="236"/>
      <c r="N1156" s="236"/>
    </row>
    <row r="1157" spans="1:14" x14ac:dyDescent="0.3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3">
      <c r="A1158" s="244" t="s">
        <v>32</v>
      </c>
      <c r="B1158" s="311">
        <f>SUM(B1148:B1156)</f>
        <v>528.83799999071164</v>
      </c>
      <c r="C1158" s="311">
        <f t="shared" ref="C1158:D1158" si="421">SUM(C1148:C1156)</f>
        <v>143.69499999928988</v>
      </c>
      <c r="D1158" s="311">
        <f t="shared" si="421"/>
        <v>672.53299999000137</v>
      </c>
      <c r="E1158" s="311"/>
      <c r="F1158" s="311">
        <f t="shared" ref="F1158:H1158" si="422">SUM(F1148:F1156)</f>
        <v>509.08199999927052</v>
      </c>
      <c r="G1158" s="311">
        <f t="shared" si="422"/>
        <v>126.95199999976633</v>
      </c>
      <c r="H1158" s="311">
        <f t="shared" si="422"/>
        <v>636.03399999903684</v>
      </c>
      <c r="I1158" s="311"/>
      <c r="J1158" s="311">
        <f t="shared" ref="J1158:L1158" si="423">SUM(J1148:J1156)</f>
        <v>590.81299999859846</v>
      </c>
      <c r="K1158" s="311">
        <f t="shared" si="423"/>
        <v>145.44200000011185</v>
      </c>
      <c r="L1158" s="311">
        <f t="shared" si="423"/>
        <v>736.25499999871033</v>
      </c>
      <c r="M1158" s="236"/>
      <c r="N1158" s="236"/>
    </row>
    <row r="1159" spans="1:14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3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3">
      <c r="A1162" s="241" t="str">
        <f>name!A71</f>
        <v>Social work</v>
      </c>
      <c r="B1162" s="373">
        <f>B$6</f>
        <v>2015</v>
      </c>
      <c r="C1162" s="373"/>
      <c r="D1162" s="373"/>
      <c r="E1162" s="253"/>
      <c r="F1162" s="373">
        <f>F$6</f>
        <v>2020</v>
      </c>
      <c r="G1162" s="373"/>
      <c r="H1162" s="373"/>
      <c r="I1162" s="253"/>
      <c r="J1162" s="373">
        <f>J$6</f>
        <v>2035</v>
      </c>
      <c r="K1162" s="373"/>
      <c r="L1162" s="373"/>
      <c r="M1162" s="236"/>
      <c r="N1162" s="236"/>
    </row>
    <row r="1163" spans="1:14" x14ac:dyDescent="0.3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3">
      <c r="A1165" s="237" t="str">
        <f>name!E$4</f>
        <v>Managers, directors and senior officials</v>
      </c>
      <c r="B1165" s="302">
        <v>22.410368566681594</v>
      </c>
      <c r="C1165" s="302">
        <v>11.922730164437906</v>
      </c>
      <c r="D1165" s="302">
        <f>SUM(B1165:C1165)</f>
        <v>34.333098731119499</v>
      </c>
      <c r="E1165" s="303"/>
      <c r="F1165" s="302">
        <v>25.295903524178058</v>
      </c>
      <c r="G1165" s="302">
        <v>10.460532922148287</v>
      </c>
      <c r="H1165" s="302">
        <f>SUM(F1165:G1165)</f>
        <v>35.756436446326347</v>
      </c>
      <c r="I1165" s="303"/>
      <c r="J1165" s="302">
        <v>33.045387804353908</v>
      </c>
      <c r="K1165" s="302">
        <v>10.92484497839645</v>
      </c>
      <c r="L1165" s="302">
        <f>SUM(J1165:K1165)</f>
        <v>43.970232782750358</v>
      </c>
      <c r="M1165" s="236"/>
      <c r="N1165" s="236"/>
    </row>
    <row r="1166" spans="1:14" x14ac:dyDescent="0.3">
      <c r="A1166" s="237" t="str">
        <f>name!E$5</f>
        <v>Professional occupations</v>
      </c>
      <c r="B1166" s="302">
        <v>192.46873504286441</v>
      </c>
      <c r="C1166" s="302">
        <v>57.953990451709373</v>
      </c>
      <c r="D1166" s="302">
        <f t="shared" ref="D1166:D1173" si="424">SUM(B1166:C1166)</f>
        <v>250.4227254945738</v>
      </c>
      <c r="E1166" s="303"/>
      <c r="F1166" s="302">
        <v>203.41986808978641</v>
      </c>
      <c r="G1166" s="302">
        <v>58.255175670511868</v>
      </c>
      <c r="H1166" s="302">
        <f t="shared" ref="H1166:H1173" si="425">SUM(F1166:G1166)</f>
        <v>261.67504376029825</v>
      </c>
      <c r="I1166" s="303"/>
      <c r="J1166" s="302">
        <v>253.89971314426592</v>
      </c>
      <c r="K1166" s="302">
        <v>66.750253307432345</v>
      </c>
      <c r="L1166" s="302">
        <f t="shared" ref="L1166:L1173" si="426">SUM(J1166:K1166)</f>
        <v>320.64996645169828</v>
      </c>
      <c r="M1166" s="236"/>
      <c r="N1166" s="236"/>
    </row>
    <row r="1167" spans="1:14" x14ac:dyDescent="0.3">
      <c r="A1167" s="237" t="str">
        <f>name!E$6</f>
        <v>Associate professional occupations</v>
      </c>
      <c r="B1167" s="302">
        <v>85.414586495332316</v>
      </c>
      <c r="C1167" s="302">
        <v>26.838702721078604</v>
      </c>
      <c r="D1167" s="302">
        <f t="shared" si="424"/>
        <v>112.25328921641092</v>
      </c>
      <c r="E1167" s="303"/>
      <c r="F1167" s="302">
        <v>88.806100950737431</v>
      </c>
      <c r="G1167" s="302">
        <v>24.67097460851771</v>
      </c>
      <c r="H1167" s="302">
        <f t="shared" si="425"/>
        <v>113.47707555925514</v>
      </c>
      <c r="I1167" s="303"/>
      <c r="J1167" s="302">
        <v>102.4338394387977</v>
      </c>
      <c r="K1167" s="302">
        <v>23.480999026740719</v>
      </c>
      <c r="L1167" s="302">
        <f t="shared" si="426"/>
        <v>125.91483846553842</v>
      </c>
      <c r="M1167" s="236"/>
      <c r="N1167" s="236"/>
    </row>
    <row r="1168" spans="1:14" x14ac:dyDescent="0.3">
      <c r="A1168" s="237" t="str">
        <f>name!E$7</f>
        <v>Administrative and secretarial occupations</v>
      </c>
      <c r="B1168" s="302">
        <v>72.341731512940612</v>
      </c>
      <c r="C1168" s="302">
        <v>11.449524352133222</v>
      </c>
      <c r="D1168" s="302">
        <f t="shared" si="424"/>
        <v>83.791255865073836</v>
      </c>
      <c r="E1168" s="303"/>
      <c r="F1168" s="302">
        <v>61.444133517500156</v>
      </c>
      <c r="G1168" s="302">
        <v>9.2050520694553466</v>
      </c>
      <c r="H1168" s="302">
        <f t="shared" si="425"/>
        <v>70.649185586955497</v>
      </c>
      <c r="I1168" s="303"/>
      <c r="J1168" s="302">
        <v>37.953799251031967</v>
      </c>
      <c r="K1168" s="302">
        <v>8.7035913378055074</v>
      </c>
      <c r="L1168" s="302">
        <f t="shared" si="426"/>
        <v>46.657390588837472</v>
      </c>
      <c r="M1168" s="236"/>
      <c r="N1168" s="236"/>
    </row>
    <row r="1169" spans="1:14" x14ac:dyDescent="0.3">
      <c r="A1169" s="237" t="str">
        <f>name!E$8</f>
        <v>Skilled trades occupations</v>
      </c>
      <c r="B1169" s="302">
        <v>4.9087590005812682</v>
      </c>
      <c r="C1169" s="302">
        <v>5.2867202378641993</v>
      </c>
      <c r="D1169" s="302">
        <f t="shared" si="424"/>
        <v>10.195479238445468</v>
      </c>
      <c r="E1169" s="303"/>
      <c r="F1169" s="302">
        <v>3.7979273043206327</v>
      </c>
      <c r="G1169" s="302">
        <v>3.1341928246859951</v>
      </c>
      <c r="H1169" s="302">
        <f t="shared" si="425"/>
        <v>6.9321201290066279</v>
      </c>
      <c r="I1169" s="303"/>
      <c r="J1169" s="302">
        <v>2.8024340803546783</v>
      </c>
      <c r="K1169" s="302">
        <v>2.6880744143463797</v>
      </c>
      <c r="L1169" s="302">
        <f t="shared" si="426"/>
        <v>5.4905084947010581</v>
      </c>
      <c r="M1169" s="236"/>
      <c r="N1169" s="236"/>
    </row>
    <row r="1170" spans="1:14" x14ac:dyDescent="0.3">
      <c r="A1170" s="237" t="str">
        <f>name!E$9</f>
        <v>Caring, leisure and other service occupations</v>
      </c>
      <c r="B1170" s="302">
        <v>261.62497139428541</v>
      </c>
      <c r="C1170" s="302">
        <v>45.024883436505334</v>
      </c>
      <c r="D1170" s="302">
        <f t="shared" si="424"/>
        <v>306.64985483079073</v>
      </c>
      <c r="E1170" s="303"/>
      <c r="F1170" s="302">
        <v>238.97532978032882</v>
      </c>
      <c r="G1170" s="302">
        <v>39.193668952778793</v>
      </c>
      <c r="H1170" s="302">
        <f t="shared" si="425"/>
        <v>278.16899873310763</v>
      </c>
      <c r="I1170" s="303"/>
      <c r="J1170" s="302">
        <v>274.65913809650147</v>
      </c>
      <c r="K1170" s="302">
        <v>54.853712827538025</v>
      </c>
      <c r="L1170" s="302">
        <f t="shared" si="426"/>
        <v>329.51285092403947</v>
      </c>
      <c r="M1170" s="236"/>
      <c r="N1170" s="236"/>
    </row>
    <row r="1171" spans="1:14" x14ac:dyDescent="0.3">
      <c r="A1171" s="237" t="str">
        <f>name!E$10</f>
        <v>Sales and customer service occupations</v>
      </c>
      <c r="B1171" s="302">
        <v>9.5946956855272489</v>
      </c>
      <c r="C1171" s="302">
        <v>2.4387404375995789</v>
      </c>
      <c r="D1171" s="302">
        <f t="shared" si="424"/>
        <v>12.033436123126828</v>
      </c>
      <c r="E1171" s="303"/>
      <c r="F1171" s="302">
        <v>8.1354879212113023</v>
      </c>
      <c r="G1171" s="302">
        <v>1.7258404955988009</v>
      </c>
      <c r="H1171" s="302">
        <f t="shared" si="425"/>
        <v>9.8613284168101032</v>
      </c>
      <c r="I1171" s="303"/>
      <c r="J1171" s="302">
        <v>9.1756811993744094</v>
      </c>
      <c r="K1171" s="302">
        <v>1.8410844945652776</v>
      </c>
      <c r="L1171" s="302">
        <f t="shared" si="426"/>
        <v>11.016765693939687</v>
      </c>
      <c r="M1171" s="236"/>
      <c r="N1171" s="236"/>
    </row>
    <row r="1172" spans="1:14" x14ac:dyDescent="0.3">
      <c r="A1172" s="237" t="str">
        <f>name!E$11</f>
        <v>Process, plant and machine operatives</v>
      </c>
      <c r="B1172" s="302">
        <v>1.6665736573372156</v>
      </c>
      <c r="C1172" s="302">
        <v>3.7222802401308384</v>
      </c>
      <c r="D1172" s="302">
        <f t="shared" si="424"/>
        <v>5.3888538974680538</v>
      </c>
      <c r="E1172" s="303"/>
      <c r="F1172" s="302">
        <v>1.1941485233319511</v>
      </c>
      <c r="G1172" s="302">
        <v>2.7586385167920007</v>
      </c>
      <c r="H1172" s="302">
        <f t="shared" si="425"/>
        <v>3.952787040123952</v>
      </c>
      <c r="I1172" s="303"/>
      <c r="J1172" s="302">
        <v>0.93432049589579924</v>
      </c>
      <c r="K1172" s="302">
        <v>2.1487022637474866</v>
      </c>
      <c r="L1172" s="302">
        <f t="shared" si="426"/>
        <v>3.0830227596432858</v>
      </c>
      <c r="M1172" s="236"/>
      <c r="N1172" s="236"/>
    </row>
    <row r="1173" spans="1:14" x14ac:dyDescent="0.3">
      <c r="A1173" s="237" t="str">
        <f>name!E$12</f>
        <v>Elementary occupations</v>
      </c>
      <c r="B1173" s="302">
        <v>17.532578632467168</v>
      </c>
      <c r="C1173" s="302">
        <v>9.9694279576031022</v>
      </c>
      <c r="D1173" s="302">
        <f t="shared" si="424"/>
        <v>27.50200659007027</v>
      </c>
      <c r="E1173" s="303"/>
      <c r="F1173" s="302">
        <v>12.336100386940114</v>
      </c>
      <c r="G1173" s="302">
        <v>6.1749239397251632</v>
      </c>
      <c r="H1173" s="302">
        <f t="shared" si="425"/>
        <v>18.511024326665279</v>
      </c>
      <c r="I1173" s="303"/>
      <c r="J1173" s="302">
        <v>6.9186864875122964</v>
      </c>
      <c r="K1173" s="302">
        <v>4.3017373501572189</v>
      </c>
      <c r="L1173" s="302">
        <f t="shared" si="426"/>
        <v>11.220423837669514</v>
      </c>
      <c r="M1173" s="236"/>
      <c r="N1173" s="236"/>
    </row>
    <row r="1174" spans="1:14" x14ac:dyDescent="0.3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3">
      <c r="A1175" s="244" t="s">
        <v>32</v>
      </c>
      <c r="B1175" s="311">
        <f>SUM(B1165:B1173)</f>
        <v>667.96299998801726</v>
      </c>
      <c r="C1175" s="311">
        <f t="shared" ref="C1175:D1175" si="427">SUM(C1165:C1173)</f>
        <v>174.60699999906217</v>
      </c>
      <c r="D1175" s="311">
        <f t="shared" si="427"/>
        <v>842.56999998707943</v>
      </c>
      <c r="E1175" s="311"/>
      <c r="F1175" s="311">
        <f t="shared" ref="F1175:H1175" si="428">SUM(F1165:F1173)</f>
        <v>643.4049999983348</v>
      </c>
      <c r="G1175" s="311">
        <f t="shared" si="428"/>
        <v>155.57900000021397</v>
      </c>
      <c r="H1175" s="311">
        <f t="shared" si="428"/>
        <v>798.98399999854894</v>
      </c>
      <c r="I1175" s="311"/>
      <c r="J1175" s="311">
        <f t="shared" ref="J1175:L1175" si="429">SUM(J1165:J1173)</f>
        <v>721.82299999808811</v>
      </c>
      <c r="K1175" s="311">
        <f t="shared" si="429"/>
        <v>175.6930000007294</v>
      </c>
      <c r="L1175" s="311">
        <f t="shared" si="429"/>
        <v>897.51599999881762</v>
      </c>
      <c r="M1175" s="236"/>
      <c r="N1175" s="236"/>
    </row>
    <row r="1176" spans="1:14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3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3">
      <c r="A1179" s="241" t="str">
        <f>name!A72</f>
        <v>Arts and entertainment</v>
      </c>
      <c r="B1179" s="373">
        <f>B$6</f>
        <v>2015</v>
      </c>
      <c r="C1179" s="373"/>
      <c r="D1179" s="373"/>
      <c r="E1179" s="253"/>
      <c r="F1179" s="373">
        <f>F$6</f>
        <v>2020</v>
      </c>
      <c r="G1179" s="373"/>
      <c r="H1179" s="373"/>
      <c r="I1179" s="253"/>
      <c r="J1179" s="373">
        <f>J$6</f>
        <v>2035</v>
      </c>
      <c r="K1179" s="373"/>
      <c r="L1179" s="373"/>
      <c r="M1179" s="236"/>
      <c r="N1179" s="236"/>
    </row>
    <row r="1180" spans="1:14" x14ac:dyDescent="0.3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3">
      <c r="A1182" s="237" t="str">
        <f>name!E$4</f>
        <v>Managers, directors and senior officials</v>
      </c>
      <c r="B1182" s="302">
        <v>6.0626148875098913</v>
      </c>
      <c r="C1182" s="302">
        <v>7.8076185234490092</v>
      </c>
      <c r="D1182" s="302">
        <f>SUM(B1182:C1182)</f>
        <v>13.8702334109589</v>
      </c>
      <c r="E1182" s="303"/>
      <c r="F1182" s="302">
        <v>10.752386958751623</v>
      </c>
      <c r="G1182" s="302">
        <v>7.2790644994808229</v>
      </c>
      <c r="H1182" s="302">
        <f>SUM(F1182:G1182)</f>
        <v>18.031451458232446</v>
      </c>
      <c r="I1182" s="303"/>
      <c r="J1182" s="302">
        <v>13.500359768560928</v>
      </c>
      <c r="K1182" s="302">
        <v>7.2081165075707201</v>
      </c>
      <c r="L1182" s="302">
        <f>SUM(J1182:K1182)</f>
        <v>20.708476276131648</v>
      </c>
      <c r="M1182" s="236"/>
      <c r="N1182" s="236"/>
    </row>
    <row r="1183" spans="1:14" x14ac:dyDescent="0.3">
      <c r="A1183" s="237" t="str">
        <f>name!E$5</f>
        <v>Professional occupations</v>
      </c>
      <c r="B1183" s="302">
        <v>11.699366783530532</v>
      </c>
      <c r="C1183" s="302">
        <v>16.644928923551113</v>
      </c>
      <c r="D1183" s="302">
        <f t="shared" ref="D1183:D1190" si="430">SUM(B1183:C1183)</f>
        <v>28.344295707081645</v>
      </c>
      <c r="E1183" s="303"/>
      <c r="F1183" s="302">
        <v>19.552923361556612</v>
      </c>
      <c r="G1183" s="302">
        <v>16.165422102915283</v>
      </c>
      <c r="H1183" s="302">
        <f t="shared" ref="H1183:H1190" si="431">SUM(F1183:G1183)</f>
        <v>35.718345464471895</v>
      </c>
      <c r="I1183" s="303"/>
      <c r="J1183" s="302">
        <v>20.294218913763348</v>
      </c>
      <c r="K1183" s="302">
        <v>15.956861957267247</v>
      </c>
      <c r="L1183" s="302">
        <f t="shared" ref="L1183:L1190" si="432">SUM(J1183:K1183)</f>
        <v>36.251080871030595</v>
      </c>
      <c r="M1183" s="236"/>
      <c r="N1183" s="236"/>
    </row>
    <row r="1184" spans="1:14" x14ac:dyDescent="0.3">
      <c r="A1184" s="237" t="str">
        <f>name!E$6</f>
        <v>Associate professional occupations</v>
      </c>
      <c r="B1184" s="302">
        <v>22.578406730424955</v>
      </c>
      <c r="C1184" s="302">
        <v>39.070532124981668</v>
      </c>
      <c r="D1184" s="302">
        <f t="shared" si="430"/>
        <v>61.648938855406627</v>
      </c>
      <c r="E1184" s="303"/>
      <c r="F1184" s="302">
        <v>40.200299038481752</v>
      </c>
      <c r="G1184" s="302">
        <v>36.44680522467479</v>
      </c>
      <c r="H1184" s="302">
        <f t="shared" si="431"/>
        <v>76.647104263156535</v>
      </c>
      <c r="I1184" s="303"/>
      <c r="J1184" s="302">
        <v>43.78856831949745</v>
      </c>
      <c r="K1184" s="302">
        <v>33.316146416982896</v>
      </c>
      <c r="L1184" s="302">
        <f t="shared" si="432"/>
        <v>77.104714736480346</v>
      </c>
      <c r="M1184" s="236"/>
      <c r="N1184" s="236"/>
    </row>
    <row r="1185" spans="1:14" x14ac:dyDescent="0.3">
      <c r="A1185" s="237" t="str">
        <f>name!E$7</f>
        <v>Administrative and secretarial occupations</v>
      </c>
      <c r="B1185" s="302">
        <v>9.8337983277105074</v>
      </c>
      <c r="C1185" s="302">
        <v>2.5674928412614086</v>
      </c>
      <c r="D1185" s="302">
        <f t="shared" si="430"/>
        <v>12.401291168971916</v>
      </c>
      <c r="E1185" s="303"/>
      <c r="F1185" s="302">
        <v>11.46076520623474</v>
      </c>
      <c r="G1185" s="302">
        <v>3.4213187294732785</v>
      </c>
      <c r="H1185" s="302">
        <f t="shared" si="431"/>
        <v>14.882083935708017</v>
      </c>
      <c r="I1185" s="303"/>
      <c r="J1185" s="302">
        <v>8.9241292806024948</v>
      </c>
      <c r="K1185" s="302">
        <v>2.9283838878854183</v>
      </c>
      <c r="L1185" s="302">
        <f t="shared" si="432"/>
        <v>11.852513168487913</v>
      </c>
      <c r="M1185" s="236"/>
      <c r="N1185" s="236"/>
    </row>
    <row r="1186" spans="1:14" x14ac:dyDescent="0.3">
      <c r="A1186" s="237" t="str">
        <f>name!E$8</f>
        <v>Skilled trades occupations</v>
      </c>
      <c r="B1186" s="302">
        <v>3.0690316571465166</v>
      </c>
      <c r="C1186" s="302">
        <v>8.3345758222133224</v>
      </c>
      <c r="D1186" s="302">
        <f t="shared" si="430"/>
        <v>11.403607479359838</v>
      </c>
      <c r="E1186" s="303"/>
      <c r="F1186" s="302">
        <v>6.1380504753122276</v>
      </c>
      <c r="G1186" s="302">
        <v>6.6686238147249091</v>
      </c>
      <c r="H1186" s="302">
        <f t="shared" si="431"/>
        <v>12.806674290037137</v>
      </c>
      <c r="I1186" s="303"/>
      <c r="J1186" s="302">
        <v>8.3292478001942474</v>
      </c>
      <c r="K1186" s="302">
        <v>5.5220885047211548</v>
      </c>
      <c r="L1186" s="302">
        <f t="shared" si="432"/>
        <v>13.851336304915403</v>
      </c>
      <c r="M1186" s="236"/>
      <c r="N1186" s="236"/>
    </row>
    <row r="1187" spans="1:14" x14ac:dyDescent="0.3">
      <c r="A1187" s="237" t="str">
        <f>name!E$9</f>
        <v>Caring, leisure and other service occupations</v>
      </c>
      <c r="B1187" s="302">
        <v>4.7209931063896518</v>
      </c>
      <c r="C1187" s="302">
        <v>3.1076539756161097</v>
      </c>
      <c r="D1187" s="302">
        <f t="shared" si="430"/>
        <v>7.8286470820057614</v>
      </c>
      <c r="E1187" s="303"/>
      <c r="F1187" s="302">
        <v>5.6673063837261726</v>
      </c>
      <c r="G1187" s="302">
        <v>3.5527747461817656</v>
      </c>
      <c r="H1187" s="302">
        <f t="shared" si="431"/>
        <v>9.220081129907939</v>
      </c>
      <c r="I1187" s="303"/>
      <c r="J1187" s="302">
        <v>5.3300190848679971</v>
      </c>
      <c r="K1187" s="302">
        <v>3.7618480507512855</v>
      </c>
      <c r="L1187" s="302">
        <f t="shared" si="432"/>
        <v>9.0918671356192817</v>
      </c>
      <c r="M1187" s="236"/>
      <c r="N1187" s="236"/>
    </row>
    <row r="1188" spans="1:14" x14ac:dyDescent="0.3">
      <c r="A1188" s="237" t="str">
        <f>name!E$10</f>
        <v>Sales and customer service occupations</v>
      </c>
      <c r="B1188" s="302">
        <v>3.3025020423546958</v>
      </c>
      <c r="C1188" s="302">
        <v>2.6294161452249614</v>
      </c>
      <c r="D1188" s="302">
        <f t="shared" si="430"/>
        <v>5.9319181875796572</v>
      </c>
      <c r="E1188" s="303"/>
      <c r="F1188" s="302">
        <v>3.9865750419223467</v>
      </c>
      <c r="G1188" s="302">
        <v>2.9874269905911301</v>
      </c>
      <c r="H1188" s="302">
        <f t="shared" si="431"/>
        <v>6.9740020325134768</v>
      </c>
      <c r="I1188" s="303"/>
      <c r="J1188" s="302">
        <v>3.6780850756865737</v>
      </c>
      <c r="K1188" s="302">
        <v>3.0082115038020225</v>
      </c>
      <c r="L1188" s="302">
        <f t="shared" si="432"/>
        <v>6.6862965794885962</v>
      </c>
      <c r="M1188" s="236"/>
      <c r="N1188" s="236"/>
    </row>
    <row r="1189" spans="1:14" x14ac:dyDescent="0.3">
      <c r="A1189" s="237" t="str">
        <f>name!E$11</f>
        <v>Process, plant and machine operatives</v>
      </c>
      <c r="B1189" s="302">
        <v>0.17812093923976915</v>
      </c>
      <c r="C1189" s="302">
        <v>0.74826705827033524</v>
      </c>
      <c r="D1189" s="302">
        <f t="shared" si="430"/>
        <v>0.92638799751010437</v>
      </c>
      <c r="E1189" s="303"/>
      <c r="F1189" s="302">
        <v>0.26769488526343643</v>
      </c>
      <c r="G1189" s="302">
        <v>0.76906290990045489</v>
      </c>
      <c r="H1189" s="302">
        <f t="shared" si="431"/>
        <v>1.0367577951638913</v>
      </c>
      <c r="I1189" s="303"/>
      <c r="J1189" s="302">
        <v>0.39626821305726606</v>
      </c>
      <c r="K1189" s="302">
        <v>0.71096711453980233</v>
      </c>
      <c r="L1189" s="302">
        <f t="shared" si="432"/>
        <v>1.1072353275970683</v>
      </c>
      <c r="M1189" s="236"/>
      <c r="N1189" s="236"/>
    </row>
    <row r="1190" spans="1:14" x14ac:dyDescent="0.3">
      <c r="A1190" s="237" t="str">
        <f>name!E$12</f>
        <v>Elementary occupations</v>
      </c>
      <c r="B1190" s="302">
        <v>4.5191655257159153</v>
      </c>
      <c r="C1190" s="302">
        <v>3.9415145868841628</v>
      </c>
      <c r="D1190" s="302">
        <f t="shared" si="430"/>
        <v>8.4606801126000786</v>
      </c>
      <c r="E1190" s="303"/>
      <c r="F1190" s="302">
        <v>4.1789986479272478</v>
      </c>
      <c r="G1190" s="302">
        <v>4.2775009836079319</v>
      </c>
      <c r="H1190" s="302">
        <f t="shared" si="431"/>
        <v>8.4564996315351806</v>
      </c>
      <c r="I1190" s="303"/>
      <c r="J1190" s="302">
        <v>3.0841035441676312</v>
      </c>
      <c r="K1190" s="302">
        <v>2.8663760589156131</v>
      </c>
      <c r="L1190" s="302">
        <f t="shared" si="432"/>
        <v>5.9504796030832443</v>
      </c>
      <c r="M1190" s="236"/>
      <c r="N1190" s="236"/>
    </row>
    <row r="1191" spans="1:14" x14ac:dyDescent="0.3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3">
      <c r="A1192" s="244" t="s">
        <v>32</v>
      </c>
      <c r="B1192" s="311">
        <f>SUM(B1182:B1190)</f>
        <v>65.964000000022438</v>
      </c>
      <c r="C1192" s="311">
        <f t="shared" ref="C1192:D1192" si="433">SUM(C1182:C1190)</f>
        <v>84.852000001452097</v>
      </c>
      <c r="D1192" s="311">
        <f t="shared" si="433"/>
        <v>150.81600000147452</v>
      </c>
      <c r="E1192" s="311"/>
      <c r="F1192" s="311">
        <f t="shared" ref="F1192:H1192" si="434">SUM(F1182:F1190)</f>
        <v>102.20499999917617</v>
      </c>
      <c r="G1192" s="311">
        <f t="shared" si="434"/>
        <v>81.568000001550374</v>
      </c>
      <c r="H1192" s="311">
        <f t="shared" si="434"/>
        <v>183.77300000072648</v>
      </c>
      <c r="I1192" s="311"/>
      <c r="J1192" s="311">
        <f t="shared" ref="J1192:L1192" si="435">SUM(J1182:J1190)</f>
        <v>107.32500000039795</v>
      </c>
      <c r="K1192" s="311">
        <f t="shared" si="435"/>
        <v>75.279000002436149</v>
      </c>
      <c r="L1192" s="311">
        <f t="shared" si="435"/>
        <v>182.60400000283408</v>
      </c>
      <c r="M1192" s="236"/>
      <c r="N1192" s="236"/>
    </row>
    <row r="1193" spans="1:14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3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3">
      <c r="A1196" s="241" t="str">
        <f>name!A73</f>
        <v>Libraries, etc</v>
      </c>
      <c r="B1196" s="373">
        <f>B$6</f>
        <v>2015</v>
      </c>
      <c r="C1196" s="373"/>
      <c r="D1196" s="373"/>
      <c r="E1196" s="253"/>
      <c r="F1196" s="373">
        <f>F$6</f>
        <v>2020</v>
      </c>
      <c r="G1196" s="373"/>
      <c r="H1196" s="373"/>
      <c r="I1196" s="253"/>
      <c r="J1196" s="373">
        <f>J$6</f>
        <v>2035</v>
      </c>
      <c r="K1196" s="373"/>
      <c r="L1196" s="373"/>
      <c r="M1196" s="236"/>
      <c r="N1196" s="236"/>
    </row>
    <row r="1197" spans="1:14" x14ac:dyDescent="0.3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3">
      <c r="A1199" s="237" t="str">
        <f>name!E$4</f>
        <v>Managers, directors and senior officials</v>
      </c>
      <c r="B1199" s="302">
        <v>7.6344315424148066</v>
      </c>
      <c r="C1199" s="302">
        <v>7.6445995136482923</v>
      </c>
      <c r="D1199" s="302">
        <f>SUM(B1199:C1199)</f>
        <v>15.279031056063099</v>
      </c>
      <c r="E1199" s="303"/>
      <c r="F1199" s="302">
        <v>10.826931960210812</v>
      </c>
      <c r="G1199" s="302">
        <v>5.7086893777401819</v>
      </c>
      <c r="H1199" s="302">
        <f>SUM(F1199:G1199)</f>
        <v>16.535621337950992</v>
      </c>
      <c r="I1199" s="303"/>
      <c r="J1199" s="302">
        <v>13.886320040313015</v>
      </c>
      <c r="K1199" s="302">
        <v>5.7333076096916278</v>
      </c>
      <c r="L1199" s="302">
        <f>SUM(J1199:K1199)</f>
        <v>19.619627650004642</v>
      </c>
      <c r="M1199" s="236"/>
      <c r="N1199" s="236"/>
    </row>
    <row r="1200" spans="1:14" x14ac:dyDescent="0.3">
      <c r="A1200" s="237" t="str">
        <f>name!E$5</f>
        <v>Professional occupations</v>
      </c>
      <c r="B1200" s="302">
        <v>12.215704907479351</v>
      </c>
      <c r="C1200" s="302">
        <v>14.64523746913758</v>
      </c>
      <c r="D1200" s="302">
        <f t="shared" ref="D1200:D1207" si="436">SUM(B1200:C1200)</f>
        <v>26.860942376616933</v>
      </c>
      <c r="E1200" s="303"/>
      <c r="F1200" s="302">
        <v>17.544256112839992</v>
      </c>
      <c r="G1200" s="302">
        <v>11.858031755517988</v>
      </c>
      <c r="H1200" s="302">
        <f t="shared" ref="H1200:H1207" si="437">SUM(F1200:G1200)</f>
        <v>29.40228786835798</v>
      </c>
      <c r="I1200" s="303"/>
      <c r="J1200" s="302">
        <v>17.602848758435545</v>
      </c>
      <c r="K1200" s="302">
        <v>11.72094935494235</v>
      </c>
      <c r="L1200" s="302">
        <f t="shared" ref="L1200:L1207" si="438">SUM(J1200:K1200)</f>
        <v>29.323798113377897</v>
      </c>
      <c r="M1200" s="236"/>
      <c r="N1200" s="236"/>
    </row>
    <row r="1201" spans="1:14" x14ac:dyDescent="0.3">
      <c r="A1201" s="237" t="str">
        <f>name!E$6</f>
        <v>Associate professional occupations</v>
      </c>
      <c r="B1201" s="302">
        <v>26.216094620634827</v>
      </c>
      <c r="C1201" s="302">
        <v>33.77047366147179</v>
      </c>
      <c r="D1201" s="302">
        <f t="shared" si="436"/>
        <v>59.986568282106617</v>
      </c>
      <c r="E1201" s="303"/>
      <c r="F1201" s="302">
        <v>39.409102898849625</v>
      </c>
      <c r="G1201" s="302">
        <v>26.291909227244652</v>
      </c>
      <c r="H1201" s="302">
        <f t="shared" si="437"/>
        <v>65.70101212609427</v>
      </c>
      <c r="I1201" s="303"/>
      <c r="J1201" s="302">
        <v>41.904955185711422</v>
      </c>
      <c r="K1201" s="302">
        <v>23.984059718608446</v>
      </c>
      <c r="L1201" s="302">
        <f t="shared" si="438"/>
        <v>65.889014904319865</v>
      </c>
      <c r="M1201" s="236"/>
      <c r="N1201" s="236"/>
    </row>
    <row r="1202" spans="1:14" x14ac:dyDescent="0.3">
      <c r="A1202" s="237" t="str">
        <f>name!E$7</f>
        <v>Administrative and secretarial occupations</v>
      </c>
      <c r="B1202" s="302">
        <v>12.730709050489578</v>
      </c>
      <c r="C1202" s="302">
        <v>3.1418311516068624</v>
      </c>
      <c r="D1202" s="302">
        <f t="shared" si="436"/>
        <v>15.87254020209644</v>
      </c>
      <c r="E1202" s="303"/>
      <c r="F1202" s="302">
        <v>12.876197961185092</v>
      </c>
      <c r="G1202" s="302">
        <v>2.9468965464152577</v>
      </c>
      <c r="H1202" s="302">
        <f t="shared" si="437"/>
        <v>15.823094507600349</v>
      </c>
      <c r="I1202" s="303"/>
      <c r="J1202" s="302">
        <v>9.8722305649092821</v>
      </c>
      <c r="K1202" s="302">
        <v>2.5312993886860218</v>
      </c>
      <c r="L1202" s="302">
        <f t="shared" si="438"/>
        <v>12.403529953595303</v>
      </c>
      <c r="M1202" s="236"/>
      <c r="N1202" s="236"/>
    </row>
    <row r="1203" spans="1:14" x14ac:dyDescent="0.3">
      <c r="A1203" s="237" t="str">
        <f>name!E$8</f>
        <v>Skilled trades occupations</v>
      </c>
      <c r="B1203" s="302">
        <v>4.200353801372386</v>
      </c>
      <c r="C1203" s="302">
        <v>9.0993692228577796</v>
      </c>
      <c r="D1203" s="302">
        <f t="shared" si="436"/>
        <v>13.299723024230165</v>
      </c>
      <c r="E1203" s="303"/>
      <c r="F1203" s="302">
        <v>6.7186086535687934</v>
      </c>
      <c r="G1203" s="302">
        <v>5.5012550478112709</v>
      </c>
      <c r="H1203" s="302">
        <f t="shared" si="437"/>
        <v>12.219863701380064</v>
      </c>
      <c r="I1203" s="303"/>
      <c r="J1203" s="302">
        <v>9.0901035461773905</v>
      </c>
      <c r="K1203" s="302">
        <v>4.6289637907099772</v>
      </c>
      <c r="L1203" s="302">
        <f t="shared" si="438"/>
        <v>13.719067336887367</v>
      </c>
      <c r="M1203" s="236"/>
      <c r="N1203" s="236"/>
    </row>
    <row r="1204" spans="1:14" x14ac:dyDescent="0.3">
      <c r="A1204" s="237" t="str">
        <f>name!E$9</f>
        <v>Caring, leisure and other service occupations</v>
      </c>
      <c r="B1204" s="302">
        <v>6.6082350125248839</v>
      </c>
      <c r="C1204" s="302">
        <v>3.368515261572707</v>
      </c>
      <c r="D1204" s="302">
        <f t="shared" si="436"/>
        <v>9.97675027409759</v>
      </c>
      <c r="E1204" s="303"/>
      <c r="F1204" s="302">
        <v>6.6292031305208843</v>
      </c>
      <c r="G1204" s="302">
        <v>3.1237577913196368</v>
      </c>
      <c r="H1204" s="302">
        <f t="shared" si="437"/>
        <v>9.752960921840522</v>
      </c>
      <c r="I1204" s="303"/>
      <c r="J1204" s="302">
        <v>6.1812903986434318</v>
      </c>
      <c r="K1204" s="302">
        <v>3.2640447029183419</v>
      </c>
      <c r="L1204" s="302">
        <f t="shared" si="438"/>
        <v>9.4453351015617741</v>
      </c>
      <c r="M1204" s="236"/>
      <c r="N1204" s="236"/>
    </row>
    <row r="1205" spans="1:14" x14ac:dyDescent="0.3">
      <c r="A1205" s="237" t="str">
        <f>name!E$10</f>
        <v>Sales and customer service occupations</v>
      </c>
      <c r="B1205" s="302">
        <v>4.1737526581589721</v>
      </c>
      <c r="C1205" s="302">
        <v>2.9311481657850553</v>
      </c>
      <c r="D1205" s="302">
        <f t="shared" si="436"/>
        <v>7.1049008239440274</v>
      </c>
      <c r="E1205" s="303"/>
      <c r="F1205" s="302">
        <v>4.0710233689272268</v>
      </c>
      <c r="G1205" s="302">
        <v>2.7256044428631725</v>
      </c>
      <c r="H1205" s="302">
        <f t="shared" si="437"/>
        <v>6.7966278117903993</v>
      </c>
      <c r="I1205" s="303"/>
      <c r="J1205" s="302">
        <v>3.9087580448592227</v>
      </c>
      <c r="K1205" s="302">
        <v>2.7484094811364654</v>
      </c>
      <c r="L1205" s="302">
        <f t="shared" si="438"/>
        <v>6.6571675259956882</v>
      </c>
      <c r="M1205" s="236"/>
      <c r="N1205" s="236"/>
    </row>
    <row r="1206" spans="1:14" x14ac:dyDescent="0.3">
      <c r="A1206" s="237" t="str">
        <f>name!E$11</f>
        <v>Process, plant and machine operatives</v>
      </c>
      <c r="B1206" s="302">
        <v>0.24265172076157682</v>
      </c>
      <c r="C1206" s="302">
        <v>0.97394295952606469</v>
      </c>
      <c r="D1206" s="302">
        <f t="shared" si="436"/>
        <v>1.2165946802876415</v>
      </c>
      <c r="E1206" s="303"/>
      <c r="F1206" s="302">
        <v>0.30279386137769532</v>
      </c>
      <c r="G1206" s="302">
        <v>0.72947277577358094</v>
      </c>
      <c r="H1206" s="302">
        <f t="shared" si="437"/>
        <v>1.0322666371512763</v>
      </c>
      <c r="I1206" s="303"/>
      <c r="J1206" s="302">
        <v>0.46682444621215291</v>
      </c>
      <c r="K1206" s="302">
        <v>0.70126555847133176</v>
      </c>
      <c r="L1206" s="302">
        <f t="shared" si="438"/>
        <v>1.1680900046834846</v>
      </c>
      <c r="M1206" s="236"/>
      <c r="N1206" s="236"/>
    </row>
    <row r="1207" spans="1:14" ht="13.5" customHeight="1" x14ac:dyDescent="0.3">
      <c r="A1207" s="237" t="str">
        <f>name!E$12</f>
        <v>Elementary occupations</v>
      </c>
      <c r="B1207" s="302">
        <v>6.796066686302666</v>
      </c>
      <c r="C1207" s="302">
        <v>4.7988825956420511</v>
      </c>
      <c r="D1207" s="302">
        <f t="shared" si="436"/>
        <v>11.594949281944718</v>
      </c>
      <c r="E1207" s="303"/>
      <c r="F1207" s="302">
        <v>5.7968820515165529</v>
      </c>
      <c r="G1207" s="302">
        <v>4.126383036377109</v>
      </c>
      <c r="H1207" s="302">
        <f t="shared" si="437"/>
        <v>9.923265087893661</v>
      </c>
      <c r="I1207" s="303"/>
      <c r="J1207" s="302">
        <v>4.1656690151424929</v>
      </c>
      <c r="K1207" s="302">
        <v>2.8957003965312027</v>
      </c>
      <c r="L1207" s="302">
        <f t="shared" si="438"/>
        <v>7.0613694116736951</v>
      </c>
      <c r="M1207" s="236"/>
      <c r="N1207" s="236"/>
    </row>
    <row r="1208" spans="1:14" ht="13.5" customHeight="1" x14ac:dyDescent="0.3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3">
      <c r="A1209" s="244" t="s">
        <v>32</v>
      </c>
      <c r="B1209" s="311">
        <f>SUM(B1199:B1207)</f>
        <v>80.818000000139051</v>
      </c>
      <c r="C1209" s="311">
        <f t="shared" ref="C1209:D1209" si="439">SUM(C1199:C1207)</f>
        <v>80.374000001248206</v>
      </c>
      <c r="D1209" s="311">
        <f t="shared" si="439"/>
        <v>161.19200000138721</v>
      </c>
      <c r="E1209" s="311"/>
      <c r="F1209" s="311">
        <f t="shared" ref="F1209:H1209" si="440">SUM(F1199:F1207)</f>
        <v>104.17499999899665</v>
      </c>
      <c r="G1209" s="311">
        <f t="shared" si="440"/>
        <v>63.012000001062852</v>
      </c>
      <c r="H1209" s="311">
        <f t="shared" si="440"/>
        <v>167.1870000000595</v>
      </c>
      <c r="I1209" s="311"/>
      <c r="J1209" s="311">
        <f t="shared" ref="J1209:L1209" si="441">SUM(J1199:J1207)</f>
        <v>107.07900000040397</v>
      </c>
      <c r="K1209" s="311">
        <f t="shared" si="441"/>
        <v>58.208000001695758</v>
      </c>
      <c r="L1209" s="311">
        <f t="shared" si="441"/>
        <v>165.28700000209969</v>
      </c>
      <c r="M1209" s="236"/>
      <c r="N1209" s="236"/>
    </row>
    <row r="1210" spans="1:14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3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3">
      <c r="A1213" s="241" t="str">
        <f>name!A74</f>
        <v>Gambling and betting</v>
      </c>
      <c r="B1213" s="373">
        <f>B$6</f>
        <v>2015</v>
      </c>
      <c r="C1213" s="373"/>
      <c r="D1213" s="373"/>
      <c r="E1213" s="253"/>
      <c r="F1213" s="373">
        <f>F$6</f>
        <v>2020</v>
      </c>
      <c r="G1213" s="373"/>
      <c r="H1213" s="373"/>
      <c r="I1213" s="253"/>
      <c r="J1213" s="373">
        <f>J$6</f>
        <v>2035</v>
      </c>
      <c r="K1213" s="373"/>
      <c r="L1213" s="373"/>
      <c r="M1213" s="236"/>
      <c r="N1213" s="236"/>
    </row>
    <row r="1214" spans="1:14" x14ac:dyDescent="0.3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3">
      <c r="A1216" s="237" t="str">
        <f>name!E$4</f>
        <v>Managers, directors and senior officials</v>
      </c>
      <c r="B1216" s="302">
        <v>3.3569154820435463</v>
      </c>
      <c r="C1216" s="302">
        <v>6.863229686850695</v>
      </c>
      <c r="D1216" s="302">
        <f>SUM(B1216:C1216)</f>
        <v>10.220145168894241</v>
      </c>
      <c r="E1216" s="303"/>
      <c r="F1216" s="302">
        <v>3.1125561310528465</v>
      </c>
      <c r="G1216" s="302">
        <v>6.3497432773417808</v>
      </c>
      <c r="H1216" s="302">
        <f>SUM(F1216:G1216)</f>
        <v>9.4622994083946281</v>
      </c>
      <c r="I1216" s="303"/>
      <c r="J1216" s="302">
        <v>4.2570064951712698</v>
      </c>
      <c r="K1216" s="302">
        <v>8.2050300583626044</v>
      </c>
      <c r="L1216" s="302">
        <f>SUM(J1216:K1216)</f>
        <v>12.462036553533874</v>
      </c>
      <c r="M1216" s="236"/>
      <c r="N1216" s="236"/>
    </row>
    <row r="1217" spans="1:14" x14ac:dyDescent="0.3">
      <c r="A1217" s="237" t="str">
        <f>name!E$5</f>
        <v>Professional occupations</v>
      </c>
      <c r="B1217" s="302">
        <v>5.1102083026292364</v>
      </c>
      <c r="C1217" s="302">
        <v>8.8251976149259175</v>
      </c>
      <c r="D1217" s="302">
        <f t="shared" ref="D1217:D1224" si="442">SUM(B1217:C1217)</f>
        <v>13.935405917555155</v>
      </c>
      <c r="E1217" s="303"/>
      <c r="F1217" s="302">
        <v>5.1538536478893038</v>
      </c>
      <c r="G1217" s="302">
        <v>9.510006131860246</v>
      </c>
      <c r="H1217" s="302">
        <f t="shared" ref="H1217:H1224" si="443">SUM(F1217:G1217)</f>
        <v>14.663859779749551</v>
      </c>
      <c r="I1217" s="303"/>
      <c r="J1217" s="302">
        <v>6.2276804952496638</v>
      </c>
      <c r="K1217" s="302">
        <v>13.68214621356165</v>
      </c>
      <c r="L1217" s="302">
        <f t="shared" ref="L1217:L1224" si="444">SUM(J1217:K1217)</f>
        <v>19.909826708811313</v>
      </c>
      <c r="M1217" s="236"/>
      <c r="N1217" s="236"/>
    </row>
    <row r="1218" spans="1:14" x14ac:dyDescent="0.3">
      <c r="A1218" s="237" t="str">
        <f>name!E$6</f>
        <v>Associate professional occupations</v>
      </c>
      <c r="B1218" s="302">
        <v>8.0225243962857711</v>
      </c>
      <c r="C1218" s="302">
        <v>17.257387925678678</v>
      </c>
      <c r="D1218" s="302">
        <f t="shared" si="442"/>
        <v>25.279912321964449</v>
      </c>
      <c r="E1218" s="303"/>
      <c r="F1218" s="302">
        <v>6.969973823029858</v>
      </c>
      <c r="G1218" s="302">
        <v>16.510255531922521</v>
      </c>
      <c r="H1218" s="302">
        <f t="shared" si="443"/>
        <v>23.480229354952378</v>
      </c>
      <c r="I1218" s="303"/>
      <c r="J1218" s="302">
        <v>8.1757219761199078</v>
      </c>
      <c r="K1218" s="302">
        <v>20.6871118492029</v>
      </c>
      <c r="L1218" s="302">
        <f t="shared" si="444"/>
        <v>28.862833825322809</v>
      </c>
      <c r="M1218" s="236"/>
      <c r="N1218" s="236"/>
    </row>
    <row r="1219" spans="1:14" x14ac:dyDescent="0.3">
      <c r="A1219" s="237" t="str">
        <f>name!E$7</f>
        <v>Administrative and secretarial occupations</v>
      </c>
      <c r="B1219" s="302">
        <v>6.6131276058589981</v>
      </c>
      <c r="C1219" s="302">
        <v>4.4317046467946399</v>
      </c>
      <c r="D1219" s="302">
        <f t="shared" si="442"/>
        <v>11.044832252653638</v>
      </c>
      <c r="E1219" s="303"/>
      <c r="F1219" s="302">
        <v>5.5871093479480276</v>
      </c>
      <c r="G1219" s="302">
        <v>4.3832443144500282</v>
      </c>
      <c r="H1219" s="302">
        <f t="shared" si="443"/>
        <v>9.9703536623980558</v>
      </c>
      <c r="I1219" s="303"/>
      <c r="J1219" s="302">
        <v>5.0351481782300676</v>
      </c>
      <c r="K1219" s="302">
        <v>4.9679340314231384</v>
      </c>
      <c r="L1219" s="302">
        <f t="shared" si="444"/>
        <v>10.003082209653206</v>
      </c>
      <c r="M1219" s="236"/>
      <c r="N1219" s="236"/>
    </row>
    <row r="1220" spans="1:14" x14ac:dyDescent="0.3">
      <c r="A1220" s="237" t="str">
        <f>name!E$8</f>
        <v>Skilled trades occupations</v>
      </c>
      <c r="B1220" s="302">
        <v>1.3284699843406671</v>
      </c>
      <c r="C1220" s="302">
        <v>7.9303880384418708</v>
      </c>
      <c r="D1220" s="302">
        <f t="shared" si="442"/>
        <v>9.2588580227825386</v>
      </c>
      <c r="E1220" s="303"/>
      <c r="F1220" s="302">
        <v>1.0963311350084304</v>
      </c>
      <c r="G1220" s="302">
        <v>5.5628506132955451</v>
      </c>
      <c r="H1220" s="302">
        <f t="shared" si="443"/>
        <v>6.6591817483039755</v>
      </c>
      <c r="I1220" s="303"/>
      <c r="J1220" s="302">
        <v>1.6493128105766814</v>
      </c>
      <c r="K1220" s="302">
        <v>5.6529123228695699</v>
      </c>
      <c r="L1220" s="302">
        <f t="shared" si="444"/>
        <v>7.3022251334462513</v>
      </c>
      <c r="M1220" s="236"/>
      <c r="N1220" s="236"/>
    </row>
    <row r="1221" spans="1:14" x14ac:dyDescent="0.3">
      <c r="A1221" s="237" t="str">
        <f>name!E$9</f>
        <v>Caring, leisure and other service occupations</v>
      </c>
      <c r="B1221" s="302">
        <v>3.196794085113734</v>
      </c>
      <c r="C1221" s="302">
        <v>4.9664200688639362</v>
      </c>
      <c r="D1221" s="302">
        <f t="shared" si="442"/>
        <v>8.1632141539776697</v>
      </c>
      <c r="E1221" s="303"/>
      <c r="F1221" s="302">
        <v>2.4842402028742003</v>
      </c>
      <c r="G1221" s="302">
        <v>4.0903676995522664</v>
      </c>
      <c r="H1221" s="302">
        <f t="shared" si="443"/>
        <v>6.5746079024264663</v>
      </c>
      <c r="I1221" s="303"/>
      <c r="J1221" s="302">
        <v>2.5026941873168016</v>
      </c>
      <c r="K1221" s="302">
        <v>5.4375179676936645</v>
      </c>
      <c r="L1221" s="302">
        <f t="shared" si="444"/>
        <v>7.9402121550104656</v>
      </c>
      <c r="M1221" s="236"/>
      <c r="N1221" s="236"/>
    </row>
    <row r="1222" spans="1:14" x14ac:dyDescent="0.3">
      <c r="A1222" s="237" t="str">
        <f>name!E$10</f>
        <v>Sales and customer service occupations</v>
      </c>
      <c r="B1222" s="302">
        <v>2.2252582252972228</v>
      </c>
      <c r="C1222" s="302">
        <v>4.0865857041425731</v>
      </c>
      <c r="D1222" s="302">
        <f t="shared" si="442"/>
        <v>6.3118439294397959</v>
      </c>
      <c r="E1222" s="303"/>
      <c r="F1222" s="302">
        <v>1.7515969969476395</v>
      </c>
      <c r="G1222" s="302">
        <v>3.5216013811956564</v>
      </c>
      <c r="H1222" s="302">
        <f t="shared" si="443"/>
        <v>5.2731983781432961</v>
      </c>
      <c r="I1222" s="303"/>
      <c r="J1222" s="302">
        <v>1.819245077625441</v>
      </c>
      <c r="K1222" s="302">
        <v>4.9298622252941087</v>
      </c>
      <c r="L1222" s="302">
        <f t="shared" si="444"/>
        <v>6.7491073029195494</v>
      </c>
      <c r="M1222" s="236"/>
      <c r="N1222" s="236"/>
    </row>
    <row r="1223" spans="1:14" x14ac:dyDescent="0.3">
      <c r="A1223" s="237" t="str">
        <f>name!E$11</f>
        <v>Process, plant and machine operatives</v>
      </c>
      <c r="B1223" s="302">
        <v>9.4279790581028908E-2</v>
      </c>
      <c r="C1223" s="302">
        <v>1.1737743465869335</v>
      </c>
      <c r="D1223" s="302">
        <f t="shared" si="442"/>
        <v>1.2680541371679623</v>
      </c>
      <c r="E1223" s="303"/>
      <c r="F1223" s="302">
        <v>6.6786163484681318E-2</v>
      </c>
      <c r="G1223" s="302">
        <v>0.89760695756160436</v>
      </c>
      <c r="H1223" s="302">
        <f t="shared" si="443"/>
        <v>0.96439312104628572</v>
      </c>
      <c r="I1223" s="303"/>
      <c r="J1223" s="302">
        <v>0.13575296220319014</v>
      </c>
      <c r="K1223" s="302">
        <v>1.0419260598491107</v>
      </c>
      <c r="L1223" s="302">
        <f t="shared" si="444"/>
        <v>1.1776790220523008</v>
      </c>
      <c r="M1223" s="236"/>
      <c r="N1223" s="236"/>
    </row>
    <row r="1224" spans="1:14" x14ac:dyDescent="0.3">
      <c r="A1224" s="237" t="str">
        <f>name!E$12</f>
        <v>Elementary occupations</v>
      </c>
      <c r="B1224" s="302">
        <v>2.9834221278222954</v>
      </c>
      <c r="C1224" s="302">
        <v>7.6753119679226618</v>
      </c>
      <c r="D1224" s="302">
        <f t="shared" si="442"/>
        <v>10.658734095744958</v>
      </c>
      <c r="E1224" s="303"/>
      <c r="F1224" s="302">
        <v>2.1935525516564858</v>
      </c>
      <c r="G1224" s="302">
        <v>5.437324093084742</v>
      </c>
      <c r="H1224" s="302">
        <f t="shared" si="443"/>
        <v>7.6308766447412282</v>
      </c>
      <c r="I1224" s="303"/>
      <c r="J1224" s="302">
        <v>1.7084378175368735</v>
      </c>
      <c r="K1224" s="302">
        <v>4.9145592724145821</v>
      </c>
      <c r="L1224" s="302">
        <f t="shared" si="444"/>
        <v>6.6229970899514559</v>
      </c>
      <c r="M1224" s="236"/>
      <c r="N1224" s="236"/>
    </row>
    <row r="1225" spans="1:14" x14ac:dyDescent="0.3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3">
      <c r="A1226" s="244" t="s">
        <v>32</v>
      </c>
      <c r="B1226" s="311">
        <f>SUM(B1216:B1224)</f>
        <v>32.930999999972506</v>
      </c>
      <c r="C1226" s="311">
        <f t="shared" ref="C1226:D1226" si="445">SUM(C1216:C1224)</f>
        <v>63.210000000207906</v>
      </c>
      <c r="D1226" s="311">
        <f t="shared" si="445"/>
        <v>96.141000000180398</v>
      </c>
      <c r="E1226" s="311"/>
      <c r="F1226" s="311">
        <f t="shared" ref="F1226:H1226" si="446">SUM(F1216:F1224)</f>
        <v>28.415999999891476</v>
      </c>
      <c r="G1226" s="311">
        <f t="shared" si="446"/>
        <v>56.263000000264391</v>
      </c>
      <c r="H1226" s="311">
        <f t="shared" si="446"/>
        <v>84.679000000155867</v>
      </c>
      <c r="I1226" s="311"/>
      <c r="J1226" s="311">
        <f t="shared" ref="J1226:L1226" si="447">SUM(J1216:J1224)</f>
        <v>31.511000000029899</v>
      </c>
      <c r="K1226" s="311">
        <f t="shared" si="447"/>
        <v>69.519000000671326</v>
      </c>
      <c r="L1226" s="311">
        <f t="shared" si="447"/>
        <v>101.03000000070124</v>
      </c>
      <c r="M1226" s="236"/>
      <c r="N1226" s="236"/>
    </row>
    <row r="1227" spans="1:14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3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3">
      <c r="A1230" s="241" t="str">
        <f>name!A75</f>
        <v>Sport and recreation</v>
      </c>
      <c r="B1230" s="373">
        <f>B$6</f>
        <v>2015</v>
      </c>
      <c r="C1230" s="373"/>
      <c r="D1230" s="373"/>
      <c r="E1230" s="253"/>
      <c r="F1230" s="373">
        <f>F$6</f>
        <v>2020</v>
      </c>
      <c r="G1230" s="373"/>
      <c r="H1230" s="373"/>
      <c r="I1230" s="253"/>
      <c r="J1230" s="373">
        <f>J$6</f>
        <v>2035</v>
      </c>
      <c r="K1230" s="373"/>
      <c r="L1230" s="373"/>
      <c r="M1230" s="236"/>
      <c r="N1230" s="236"/>
    </row>
    <row r="1231" spans="1:14" x14ac:dyDescent="0.3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3">
      <c r="A1233" s="237" t="str">
        <f>name!E$4</f>
        <v>Managers, directors and senior officials</v>
      </c>
      <c r="B1233" s="302">
        <v>22.680212501672703</v>
      </c>
      <c r="C1233" s="302">
        <v>19.490313392741641</v>
      </c>
      <c r="D1233" s="302">
        <f>SUM(B1233:C1233)</f>
        <v>42.17052589441434</v>
      </c>
      <c r="E1233" s="303"/>
      <c r="F1233" s="302">
        <v>26.926656561826643</v>
      </c>
      <c r="G1233" s="302">
        <v>21.853886078964038</v>
      </c>
      <c r="H1233" s="302">
        <f>SUM(F1233:G1233)</f>
        <v>48.780542640790685</v>
      </c>
      <c r="I1233" s="303"/>
      <c r="J1233" s="302">
        <v>39.235355169472598</v>
      </c>
      <c r="K1233" s="302">
        <v>29.213348160602312</v>
      </c>
      <c r="L1233" s="302">
        <f>SUM(J1233:K1233)</f>
        <v>68.448703330074906</v>
      </c>
      <c r="M1233" s="236"/>
      <c r="N1233" s="236"/>
    </row>
    <row r="1234" spans="1:14" x14ac:dyDescent="0.3">
      <c r="A1234" s="237" t="str">
        <f>name!E$5</f>
        <v>Professional occupations</v>
      </c>
      <c r="B1234" s="302">
        <v>28.324069932621548</v>
      </c>
      <c r="C1234" s="302">
        <v>27.403388988993299</v>
      </c>
      <c r="D1234" s="302">
        <f t="shared" ref="D1234:D1241" si="448">SUM(B1234:C1234)</f>
        <v>55.727458921614847</v>
      </c>
      <c r="E1234" s="303"/>
      <c r="F1234" s="302">
        <v>33.690386845137645</v>
      </c>
      <c r="G1234" s="302">
        <v>34.245025627275695</v>
      </c>
      <c r="H1234" s="302">
        <f t="shared" ref="H1234:H1241" si="449">SUM(F1234:G1234)</f>
        <v>67.935412472413333</v>
      </c>
      <c r="I1234" s="303"/>
      <c r="J1234" s="302">
        <v>40.905939337703416</v>
      </c>
      <c r="K1234" s="302">
        <v>49.749394389502065</v>
      </c>
      <c r="L1234" s="302">
        <f t="shared" ref="L1234:L1241" si="450">SUM(J1234:K1234)</f>
        <v>90.655333727205488</v>
      </c>
      <c r="M1234" s="236"/>
      <c r="N1234" s="236"/>
    </row>
    <row r="1235" spans="1:14" x14ac:dyDescent="0.3">
      <c r="A1235" s="237" t="str">
        <f>name!E$6</f>
        <v>Associate professional occupations</v>
      </c>
      <c r="B1235" s="302">
        <v>43.826874713203253</v>
      </c>
      <c r="C1235" s="302">
        <v>56.005458259210364</v>
      </c>
      <c r="D1235" s="302">
        <f t="shared" si="448"/>
        <v>99.83233297241361</v>
      </c>
      <c r="E1235" s="303"/>
      <c r="F1235" s="302">
        <v>43.854653912340439</v>
      </c>
      <c r="G1235" s="302">
        <v>61.396444342805715</v>
      </c>
      <c r="H1235" s="302">
        <f t="shared" si="449"/>
        <v>105.25109825514616</v>
      </c>
      <c r="I1235" s="303"/>
      <c r="J1235" s="302">
        <v>52.219247841595838</v>
      </c>
      <c r="K1235" s="302">
        <v>77.098673793625295</v>
      </c>
      <c r="L1235" s="302">
        <f t="shared" si="450"/>
        <v>129.31792163522113</v>
      </c>
      <c r="M1235" s="236"/>
      <c r="N1235" s="236"/>
    </row>
    <row r="1236" spans="1:14" x14ac:dyDescent="0.3">
      <c r="A1236" s="237" t="str">
        <f>name!E$7</f>
        <v>Administrative and secretarial occupations</v>
      </c>
      <c r="B1236" s="302">
        <v>44.888876838714303</v>
      </c>
      <c r="C1236" s="302">
        <v>13.325390390421573</v>
      </c>
      <c r="D1236" s="302">
        <f t="shared" si="448"/>
        <v>58.214267229135878</v>
      </c>
      <c r="E1236" s="303"/>
      <c r="F1236" s="302">
        <v>43.178695804952341</v>
      </c>
      <c r="G1236" s="302">
        <v>14.77778329415359</v>
      </c>
      <c r="H1236" s="302">
        <f t="shared" si="449"/>
        <v>57.956479099105934</v>
      </c>
      <c r="I1236" s="303"/>
      <c r="J1236" s="302">
        <v>39.111880331796527</v>
      </c>
      <c r="K1236" s="302">
        <v>16.418986814821718</v>
      </c>
      <c r="L1236" s="302">
        <f t="shared" si="450"/>
        <v>55.530867146618249</v>
      </c>
      <c r="M1236" s="236"/>
      <c r="N1236" s="236"/>
    </row>
    <row r="1237" spans="1:14" x14ac:dyDescent="0.3">
      <c r="A1237" s="237" t="str">
        <f>name!E$8</f>
        <v>Skilled trades occupations</v>
      </c>
      <c r="B1237" s="302">
        <v>7.5048646697115435</v>
      </c>
      <c r="C1237" s="302">
        <v>24.250998607622424</v>
      </c>
      <c r="D1237" s="302">
        <f t="shared" si="448"/>
        <v>31.755863277333969</v>
      </c>
      <c r="E1237" s="303"/>
      <c r="F1237" s="302">
        <v>7.5732812559540186</v>
      </c>
      <c r="G1237" s="302">
        <v>20.825361781342661</v>
      </c>
      <c r="H1237" s="302">
        <f t="shared" si="449"/>
        <v>28.398643037296679</v>
      </c>
      <c r="I1237" s="303"/>
      <c r="J1237" s="302">
        <v>12.774597771481762</v>
      </c>
      <c r="K1237" s="302">
        <v>23.108682133708299</v>
      </c>
      <c r="L1237" s="302">
        <f t="shared" si="450"/>
        <v>35.883279905190065</v>
      </c>
      <c r="M1237" s="236"/>
      <c r="N1237" s="236"/>
    </row>
    <row r="1238" spans="1:14" x14ac:dyDescent="0.3">
      <c r="A1238" s="237" t="str">
        <f>name!E$9</f>
        <v>Caring, leisure and other service occupations</v>
      </c>
      <c r="B1238" s="302">
        <v>32.208028564159761</v>
      </c>
      <c r="C1238" s="302">
        <v>19.819784030223055</v>
      </c>
      <c r="D1238" s="302">
        <f t="shared" si="448"/>
        <v>52.027812594382816</v>
      </c>
      <c r="E1238" s="303"/>
      <c r="F1238" s="302">
        <v>26.839071859057597</v>
      </c>
      <c r="G1238" s="302">
        <v>18.902324028336562</v>
      </c>
      <c r="H1238" s="302">
        <f t="shared" si="449"/>
        <v>45.741395887394162</v>
      </c>
      <c r="I1238" s="303"/>
      <c r="J1238" s="302">
        <v>26.836208387949469</v>
      </c>
      <c r="K1238" s="302">
        <v>25.227998710587975</v>
      </c>
      <c r="L1238" s="302">
        <f t="shared" si="450"/>
        <v>52.064207098537445</v>
      </c>
      <c r="M1238" s="236"/>
      <c r="N1238" s="236"/>
    </row>
    <row r="1239" spans="1:14" x14ac:dyDescent="0.3">
      <c r="A1239" s="237" t="str">
        <f>name!E$10</f>
        <v>Sales and customer service occupations</v>
      </c>
      <c r="B1239" s="302">
        <v>14.326512631534172</v>
      </c>
      <c r="C1239" s="302">
        <v>14.006095452495986</v>
      </c>
      <c r="D1239" s="302">
        <f t="shared" si="448"/>
        <v>28.332608084030156</v>
      </c>
      <c r="E1239" s="303"/>
      <c r="F1239" s="302">
        <v>13.472495721166243</v>
      </c>
      <c r="G1239" s="302">
        <v>13.520789716488391</v>
      </c>
      <c r="H1239" s="302">
        <f t="shared" si="449"/>
        <v>26.993285437654635</v>
      </c>
      <c r="I1239" s="303"/>
      <c r="J1239" s="302">
        <v>14.614361817532107</v>
      </c>
      <c r="K1239" s="302">
        <v>18.723517789046422</v>
      </c>
      <c r="L1239" s="302">
        <f t="shared" si="450"/>
        <v>33.337879606578525</v>
      </c>
      <c r="M1239" s="236"/>
      <c r="N1239" s="236"/>
    </row>
    <row r="1240" spans="1:14" x14ac:dyDescent="0.3">
      <c r="A1240" s="237" t="str">
        <f>name!E$11</f>
        <v>Process, plant and machine operatives</v>
      </c>
      <c r="B1240" s="302">
        <v>0.69540910343468298</v>
      </c>
      <c r="C1240" s="302">
        <v>4.6073444787069109</v>
      </c>
      <c r="D1240" s="302">
        <f t="shared" si="448"/>
        <v>5.3027535821415936</v>
      </c>
      <c r="E1240" s="303"/>
      <c r="F1240" s="302">
        <v>0.55953084654804697</v>
      </c>
      <c r="G1240" s="302">
        <v>4.1914644822440268</v>
      </c>
      <c r="H1240" s="302">
        <f t="shared" si="449"/>
        <v>4.7509953287920741</v>
      </c>
      <c r="I1240" s="303"/>
      <c r="J1240" s="302">
        <v>1.1499142847442798</v>
      </c>
      <c r="K1240" s="302">
        <v>4.8443487090609922</v>
      </c>
      <c r="L1240" s="302">
        <f t="shared" si="450"/>
        <v>5.9942629938052718</v>
      </c>
      <c r="M1240" s="236"/>
      <c r="N1240" s="236"/>
    </row>
    <row r="1241" spans="1:14" x14ac:dyDescent="0.3">
      <c r="A1241" s="237" t="str">
        <f>name!E$12</f>
        <v>Elementary occupations</v>
      </c>
      <c r="B1241" s="302">
        <v>25.28515104530895</v>
      </c>
      <c r="C1241" s="302">
        <v>28.889226401076243</v>
      </c>
      <c r="D1241" s="302">
        <f t="shared" si="448"/>
        <v>54.174377446385193</v>
      </c>
      <c r="E1241" s="303"/>
      <c r="F1241" s="302">
        <v>19.807227192563555</v>
      </c>
      <c r="G1241" s="302">
        <v>23.483920649743524</v>
      </c>
      <c r="H1241" s="302">
        <f t="shared" si="449"/>
        <v>43.291147842307083</v>
      </c>
      <c r="I1241" s="303"/>
      <c r="J1241" s="302">
        <v>15.172495057668682</v>
      </c>
      <c r="K1241" s="302">
        <v>22.249049502632001</v>
      </c>
      <c r="L1241" s="302">
        <f t="shared" si="450"/>
        <v>37.421544560300681</v>
      </c>
      <c r="M1241" s="236"/>
      <c r="N1241" s="236"/>
    </row>
    <row r="1242" spans="1:14" x14ac:dyDescent="0.3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3">
      <c r="A1243" s="244" t="s">
        <v>32</v>
      </c>
      <c r="B1243" s="311">
        <f>SUM(B1233:B1241)</f>
        <v>219.74000000036091</v>
      </c>
      <c r="C1243" s="311">
        <f t="shared" ref="C1243:D1243" si="451">SUM(C1233:C1241)</f>
        <v>207.79800000149152</v>
      </c>
      <c r="D1243" s="311">
        <f t="shared" si="451"/>
        <v>427.53800000185231</v>
      </c>
      <c r="E1243" s="311"/>
      <c r="F1243" s="311">
        <f t="shared" ref="F1243:H1243" si="452">SUM(F1233:F1241)</f>
        <v>215.90199999954652</v>
      </c>
      <c r="G1243" s="311">
        <f t="shared" si="452"/>
        <v>213.19700000135418</v>
      </c>
      <c r="H1243" s="311">
        <f t="shared" si="452"/>
        <v>429.09900000090067</v>
      </c>
      <c r="I1243" s="311"/>
      <c r="J1243" s="311">
        <f t="shared" ref="J1243:L1243" si="453">SUM(J1233:J1241)</f>
        <v>242.01999999994467</v>
      </c>
      <c r="K1243" s="311">
        <f t="shared" si="453"/>
        <v>266.63400000358706</v>
      </c>
      <c r="L1243" s="311">
        <f t="shared" si="453"/>
        <v>508.65400000353173</v>
      </c>
      <c r="M1243" s="236"/>
      <c r="N1243" s="236"/>
    </row>
    <row r="1244" spans="1:14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3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3">
      <c r="A1247" s="241" t="str">
        <f>name!A76</f>
        <v>Membership organisations</v>
      </c>
      <c r="B1247" s="373">
        <f>B$6</f>
        <v>2015</v>
      </c>
      <c r="C1247" s="373"/>
      <c r="D1247" s="373"/>
      <c r="E1247" s="253"/>
      <c r="F1247" s="373">
        <f>F$6</f>
        <v>2020</v>
      </c>
      <c r="G1247" s="373"/>
      <c r="H1247" s="373"/>
      <c r="I1247" s="253"/>
      <c r="J1247" s="373">
        <f>J$6</f>
        <v>2035</v>
      </c>
      <c r="K1247" s="373"/>
      <c r="L1247" s="373"/>
      <c r="M1247" s="236"/>
      <c r="N1247" s="236"/>
    </row>
    <row r="1248" spans="1:14" x14ac:dyDescent="0.3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3">
      <c r="A1250" s="237" t="str">
        <f>name!E$4</f>
        <v>Managers, directors and senior officials</v>
      </c>
      <c r="B1250" s="302">
        <v>19.825288965697343</v>
      </c>
      <c r="C1250" s="302">
        <v>12.733446555826529</v>
      </c>
      <c r="D1250" s="302">
        <f>SUM(B1250:C1250)</f>
        <v>32.558735521523872</v>
      </c>
      <c r="E1250" s="303"/>
      <c r="F1250" s="302">
        <v>24.062173242867416</v>
      </c>
      <c r="G1250" s="302">
        <v>9.9439738858644446</v>
      </c>
      <c r="H1250" s="302">
        <f>SUM(F1250:G1250)</f>
        <v>34.006147128731861</v>
      </c>
      <c r="I1250" s="303"/>
      <c r="J1250" s="302">
        <v>26.726755134022088</v>
      </c>
      <c r="K1250" s="302">
        <v>11.360944375025746</v>
      </c>
      <c r="L1250" s="302">
        <f>SUM(J1250:K1250)</f>
        <v>38.087699509047837</v>
      </c>
      <c r="M1250" s="236"/>
      <c r="N1250" s="236"/>
    </row>
    <row r="1251" spans="1:14" x14ac:dyDescent="0.3">
      <c r="A1251" s="237" t="str">
        <f>name!E$5</f>
        <v>Professional occupations</v>
      </c>
      <c r="B1251" s="302">
        <v>68.535368105164736</v>
      </c>
      <c r="C1251" s="302">
        <v>60.277823372912032</v>
      </c>
      <c r="D1251" s="302">
        <f t="shared" ref="D1251:D1258" si="454">SUM(B1251:C1251)</f>
        <v>128.81319147807676</v>
      </c>
      <c r="E1251" s="303"/>
      <c r="F1251" s="302">
        <v>82.412491945398713</v>
      </c>
      <c r="G1251" s="302">
        <v>48.41673454863961</v>
      </c>
      <c r="H1251" s="302">
        <f t="shared" ref="H1251:H1258" si="455">SUM(F1251:G1251)</f>
        <v>130.82922649403832</v>
      </c>
      <c r="I1251" s="303"/>
      <c r="J1251" s="302">
        <v>85.977502903211771</v>
      </c>
      <c r="K1251" s="302">
        <v>57.980106296446252</v>
      </c>
      <c r="L1251" s="302">
        <f t="shared" ref="L1251:L1258" si="456">SUM(J1251:K1251)</f>
        <v>143.95760919965801</v>
      </c>
      <c r="M1251" s="236"/>
      <c r="N1251" s="236"/>
    </row>
    <row r="1252" spans="1:14" x14ac:dyDescent="0.3">
      <c r="A1252" s="237" t="str">
        <f>name!E$6</f>
        <v>Associate professional occupations</v>
      </c>
      <c r="B1252" s="302">
        <v>42.217342430245623</v>
      </c>
      <c r="C1252" s="302">
        <v>17.640585874821781</v>
      </c>
      <c r="D1252" s="302">
        <f t="shared" si="454"/>
        <v>59.857928305067404</v>
      </c>
      <c r="E1252" s="303"/>
      <c r="F1252" s="302">
        <v>45.280781220016173</v>
      </c>
      <c r="G1252" s="302">
        <v>15.014476697451915</v>
      </c>
      <c r="H1252" s="302">
        <f t="shared" si="455"/>
        <v>60.295257917468092</v>
      </c>
      <c r="I1252" s="303"/>
      <c r="J1252" s="302">
        <v>44.807714075602931</v>
      </c>
      <c r="K1252" s="302">
        <v>13.784888130718427</v>
      </c>
      <c r="L1252" s="302">
        <f t="shared" si="456"/>
        <v>58.592602206321359</v>
      </c>
      <c r="M1252" s="236"/>
      <c r="N1252" s="236"/>
    </row>
    <row r="1253" spans="1:14" x14ac:dyDescent="0.3">
      <c r="A1253" s="237" t="str">
        <f>name!E$7</f>
        <v>Administrative and secretarial occupations</v>
      </c>
      <c r="B1253" s="302">
        <v>53.612524979486814</v>
      </c>
      <c r="C1253" s="302">
        <v>7.4470825726825591</v>
      </c>
      <c r="D1253" s="302">
        <f t="shared" si="454"/>
        <v>61.059607552169375</v>
      </c>
      <c r="E1253" s="303"/>
      <c r="F1253" s="302">
        <v>46.410124181609149</v>
      </c>
      <c r="G1253" s="302">
        <v>6.1432850204648783</v>
      </c>
      <c r="H1253" s="302">
        <f t="shared" si="455"/>
        <v>52.553409202074029</v>
      </c>
      <c r="I1253" s="303"/>
      <c r="J1253" s="302">
        <v>35.372814323887994</v>
      </c>
      <c r="K1253" s="302">
        <v>5.6103564628772027</v>
      </c>
      <c r="L1253" s="302">
        <f t="shared" si="456"/>
        <v>40.9831707867652</v>
      </c>
      <c r="M1253" s="236"/>
      <c r="N1253" s="236"/>
    </row>
    <row r="1254" spans="1:14" x14ac:dyDescent="0.3">
      <c r="A1254" s="237" t="str">
        <f>name!E$8</f>
        <v>Skilled trades occupations</v>
      </c>
      <c r="B1254" s="302">
        <v>4.1723773433940261</v>
      </c>
      <c r="C1254" s="302">
        <v>7.1549825353143417</v>
      </c>
      <c r="D1254" s="302">
        <f t="shared" si="454"/>
        <v>11.327359878708368</v>
      </c>
      <c r="E1254" s="303"/>
      <c r="F1254" s="302">
        <v>4.2660143632864456</v>
      </c>
      <c r="G1254" s="302">
        <v>3.2761724191909916</v>
      </c>
      <c r="H1254" s="302">
        <f t="shared" si="455"/>
        <v>7.5421867824774367</v>
      </c>
      <c r="I1254" s="303"/>
      <c r="J1254" s="302">
        <v>6.0431343820201384</v>
      </c>
      <c r="K1254" s="302">
        <v>3.5656028601569205</v>
      </c>
      <c r="L1254" s="302">
        <f t="shared" si="456"/>
        <v>9.6087372421770585</v>
      </c>
      <c r="M1254" s="236"/>
      <c r="N1254" s="236"/>
    </row>
    <row r="1255" spans="1:14" x14ac:dyDescent="0.3">
      <c r="A1255" s="237" t="str">
        <f>name!E$9</f>
        <v>Caring, leisure and other service occupations</v>
      </c>
      <c r="B1255" s="302">
        <v>23.233038320871412</v>
      </c>
      <c r="C1255" s="302">
        <v>3.6660685280178837</v>
      </c>
      <c r="D1255" s="302">
        <f t="shared" si="454"/>
        <v>26.899106848889296</v>
      </c>
      <c r="E1255" s="303"/>
      <c r="F1255" s="302">
        <v>21.365556834822449</v>
      </c>
      <c r="G1255" s="302">
        <v>2.666759421503289</v>
      </c>
      <c r="H1255" s="302">
        <f t="shared" si="455"/>
        <v>24.032316256325739</v>
      </c>
      <c r="I1255" s="303"/>
      <c r="J1255" s="302">
        <v>20.501911840056767</v>
      </c>
      <c r="K1255" s="302">
        <v>3.4431308458984096</v>
      </c>
      <c r="L1255" s="302">
        <f t="shared" si="456"/>
        <v>23.945042685955176</v>
      </c>
      <c r="M1255" s="236"/>
      <c r="N1255" s="236"/>
    </row>
    <row r="1256" spans="1:14" x14ac:dyDescent="0.3">
      <c r="A1256" s="237" t="str">
        <f>name!E$10</f>
        <v>Sales and customer service occupations</v>
      </c>
      <c r="B1256" s="302">
        <v>6.8379124127575013</v>
      </c>
      <c r="C1256" s="302">
        <v>1.9491911688269492</v>
      </c>
      <c r="D1256" s="302">
        <f t="shared" si="454"/>
        <v>8.78710358158445</v>
      </c>
      <c r="E1256" s="303"/>
      <c r="F1256" s="302">
        <v>5.9608327826713783</v>
      </c>
      <c r="G1256" s="302">
        <v>1.3056908395596833</v>
      </c>
      <c r="H1256" s="302">
        <f t="shared" si="455"/>
        <v>7.2665236222310616</v>
      </c>
      <c r="I1256" s="303"/>
      <c r="J1256" s="302">
        <v>6.0113356989287547</v>
      </c>
      <c r="K1256" s="302">
        <v>1.5916771769748916</v>
      </c>
      <c r="L1256" s="302">
        <f t="shared" si="456"/>
        <v>7.6030128759036462</v>
      </c>
      <c r="M1256" s="236"/>
      <c r="N1256" s="236"/>
    </row>
    <row r="1257" spans="1:14" x14ac:dyDescent="0.3">
      <c r="A1257" s="237" t="str">
        <f>name!E$11</f>
        <v>Process, plant and machine operatives</v>
      </c>
      <c r="B1257" s="302">
        <v>3.843654767544165</v>
      </c>
      <c r="C1257" s="302">
        <v>1.8947307979545955</v>
      </c>
      <c r="D1257" s="302">
        <f t="shared" si="454"/>
        <v>5.7383855654987608</v>
      </c>
      <c r="E1257" s="303"/>
      <c r="F1257" s="302">
        <v>3.6179929509553745</v>
      </c>
      <c r="G1257" s="302">
        <v>1.2636193422785655</v>
      </c>
      <c r="H1257" s="302">
        <f t="shared" si="455"/>
        <v>4.8816122932339399</v>
      </c>
      <c r="I1257" s="303"/>
      <c r="J1257" s="302">
        <v>5.0293648742627131</v>
      </c>
      <c r="K1257" s="302">
        <v>1.2083948175414982</v>
      </c>
      <c r="L1257" s="302">
        <f t="shared" si="456"/>
        <v>6.2377596918042109</v>
      </c>
      <c r="M1257" s="236"/>
      <c r="N1257" s="236"/>
    </row>
    <row r="1258" spans="1:14" x14ac:dyDescent="0.3">
      <c r="A1258" s="237" t="str">
        <f>name!E$12</f>
        <v>Elementary occupations</v>
      </c>
      <c r="B1258" s="302">
        <v>24.293492673578864</v>
      </c>
      <c r="C1258" s="302">
        <v>4.3740885926917947</v>
      </c>
      <c r="D1258" s="302">
        <f t="shared" si="454"/>
        <v>28.667581266270659</v>
      </c>
      <c r="E1258" s="303"/>
      <c r="F1258" s="302">
        <v>17.33503247655614</v>
      </c>
      <c r="G1258" s="302">
        <v>2.7562878254114613</v>
      </c>
      <c r="H1258" s="302">
        <f t="shared" si="455"/>
        <v>20.091320301967603</v>
      </c>
      <c r="I1258" s="303"/>
      <c r="J1258" s="302">
        <v>10.462466769861134</v>
      </c>
      <c r="K1258" s="302">
        <v>1.9998990353246586</v>
      </c>
      <c r="L1258" s="302">
        <f t="shared" si="456"/>
        <v>12.462365805185792</v>
      </c>
      <c r="M1258" s="236"/>
      <c r="N1258" s="236"/>
    </row>
    <row r="1259" spans="1:14" x14ac:dyDescent="0.3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3">
      <c r="A1260" s="244" t="s">
        <v>32</v>
      </c>
      <c r="B1260" s="311">
        <f>SUM(B1250:B1258)</f>
        <v>246.57099999874046</v>
      </c>
      <c r="C1260" s="311">
        <f t="shared" ref="C1260:D1260" si="457">SUM(C1250:C1258)</f>
        <v>117.13799999904846</v>
      </c>
      <c r="D1260" s="311">
        <f t="shared" si="457"/>
        <v>363.70899999778896</v>
      </c>
      <c r="E1260" s="311"/>
      <c r="F1260" s="311">
        <f t="shared" ref="F1260:H1260" si="458">SUM(F1250:F1258)</f>
        <v>250.71099999818324</v>
      </c>
      <c r="G1260" s="311">
        <f t="shared" si="458"/>
        <v>90.787000000364827</v>
      </c>
      <c r="H1260" s="311">
        <f t="shared" si="458"/>
        <v>341.49799999854804</v>
      </c>
      <c r="I1260" s="311"/>
      <c r="J1260" s="311">
        <f t="shared" ref="J1260:L1260" si="459">SUM(J1250:J1258)</f>
        <v>240.93300000185425</v>
      </c>
      <c r="K1260" s="311">
        <f t="shared" si="459"/>
        <v>100.54500000096402</v>
      </c>
      <c r="L1260" s="311">
        <f t="shared" si="459"/>
        <v>341.47800000281831</v>
      </c>
      <c r="M1260" s="236"/>
      <c r="N1260" s="236"/>
    </row>
    <row r="1261" spans="1:14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3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3">
      <c r="A1264" s="241" t="str">
        <f>name!A77</f>
        <v>Repair of goods</v>
      </c>
      <c r="B1264" s="373">
        <f>B$6</f>
        <v>2015</v>
      </c>
      <c r="C1264" s="373"/>
      <c r="D1264" s="373"/>
      <c r="E1264" s="253"/>
      <c r="F1264" s="373">
        <f>F$6</f>
        <v>2020</v>
      </c>
      <c r="G1264" s="373"/>
      <c r="H1264" s="373"/>
      <c r="I1264" s="253"/>
      <c r="J1264" s="373">
        <f>J$6</f>
        <v>2035</v>
      </c>
      <c r="K1264" s="373"/>
      <c r="L1264" s="373"/>
      <c r="M1264" s="236"/>
      <c r="N1264" s="236"/>
    </row>
    <row r="1265" spans="1:14" x14ac:dyDescent="0.3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3">
      <c r="A1267" s="237" t="str">
        <f>name!E$4</f>
        <v>Managers, directors and senior officials</v>
      </c>
      <c r="B1267" s="302">
        <v>4.2765009608513358</v>
      </c>
      <c r="C1267" s="302">
        <v>9.3329371911992638</v>
      </c>
      <c r="D1267" s="302">
        <f>SUM(B1267:C1267)</f>
        <v>13.6094381520506</v>
      </c>
      <c r="E1267" s="303"/>
      <c r="F1267" s="302">
        <v>6.2512884995216371</v>
      </c>
      <c r="G1267" s="302">
        <v>13.285846923726076</v>
      </c>
      <c r="H1267" s="302">
        <f>SUM(F1267:G1267)</f>
        <v>19.537135423247712</v>
      </c>
      <c r="I1267" s="303"/>
      <c r="J1267" s="302">
        <v>6.3197582236426166</v>
      </c>
      <c r="K1267" s="302">
        <v>16.058159462048277</v>
      </c>
      <c r="L1267" s="302">
        <f>SUM(J1267:K1267)</f>
        <v>22.377917685690893</v>
      </c>
      <c r="M1267" s="236"/>
      <c r="N1267" s="236"/>
    </row>
    <row r="1268" spans="1:14" x14ac:dyDescent="0.3">
      <c r="A1268" s="237" t="str">
        <f>name!E$5</f>
        <v>Professional occupations</v>
      </c>
      <c r="B1268" s="302">
        <v>2.0664170949034677</v>
      </c>
      <c r="C1268" s="302">
        <v>9.9700240970466218</v>
      </c>
      <c r="D1268" s="302">
        <f t="shared" ref="D1268:D1275" si="460">SUM(B1268:C1268)</f>
        <v>12.03644119195009</v>
      </c>
      <c r="E1268" s="303"/>
      <c r="F1268" s="302">
        <v>3.0062395578175209</v>
      </c>
      <c r="G1268" s="302">
        <v>12.311961390224843</v>
      </c>
      <c r="H1268" s="302">
        <f t="shared" ref="H1268:H1275" si="461">SUM(F1268:G1268)</f>
        <v>15.318200948042364</v>
      </c>
      <c r="I1268" s="303"/>
      <c r="J1268" s="302">
        <v>2.9129615591547506</v>
      </c>
      <c r="K1268" s="302">
        <v>14.139120586568671</v>
      </c>
      <c r="L1268" s="302">
        <f t="shared" ref="L1268:L1275" si="462">SUM(J1268:K1268)</f>
        <v>17.052082145723421</v>
      </c>
      <c r="M1268" s="236"/>
      <c r="N1268" s="236"/>
    </row>
    <row r="1269" spans="1:14" x14ac:dyDescent="0.3">
      <c r="A1269" s="237" t="str">
        <f>name!E$6</f>
        <v>Associate professional occupations</v>
      </c>
      <c r="B1269" s="302">
        <v>1.9168655410167572</v>
      </c>
      <c r="C1269" s="302">
        <v>4.4544401992052407</v>
      </c>
      <c r="D1269" s="302">
        <f t="shared" si="460"/>
        <v>6.3713057402219979</v>
      </c>
      <c r="E1269" s="303"/>
      <c r="F1269" s="302">
        <v>2.4455568933701262</v>
      </c>
      <c r="G1269" s="302">
        <v>5.3556216248922341</v>
      </c>
      <c r="H1269" s="302">
        <f t="shared" si="461"/>
        <v>7.8011785182623603</v>
      </c>
      <c r="I1269" s="303"/>
      <c r="J1269" s="302">
        <v>2.212545611300103</v>
      </c>
      <c r="K1269" s="302">
        <v>5.620505677619998</v>
      </c>
      <c r="L1269" s="302">
        <f t="shared" si="462"/>
        <v>7.8330512889201014</v>
      </c>
      <c r="M1269" s="236"/>
      <c r="N1269" s="236"/>
    </row>
    <row r="1270" spans="1:14" x14ac:dyDescent="0.3">
      <c r="A1270" s="237" t="str">
        <f>name!E$7</f>
        <v>Administrative and secretarial occupations</v>
      </c>
      <c r="B1270" s="302">
        <v>1.4184826822554464</v>
      </c>
      <c r="C1270" s="302">
        <v>1.4581598256659938</v>
      </c>
      <c r="D1270" s="302">
        <f t="shared" si="460"/>
        <v>2.8766425079214404</v>
      </c>
      <c r="E1270" s="303"/>
      <c r="F1270" s="302">
        <v>1.5567756065515013</v>
      </c>
      <c r="G1270" s="302">
        <v>1.6471460655638912</v>
      </c>
      <c r="H1270" s="302">
        <f t="shared" si="461"/>
        <v>3.2039216721153925</v>
      </c>
      <c r="I1270" s="303"/>
      <c r="J1270" s="302">
        <v>2.1209632423422087</v>
      </c>
      <c r="K1270" s="302">
        <v>1.7317328178095717</v>
      </c>
      <c r="L1270" s="302">
        <f t="shared" si="462"/>
        <v>3.8526960601517803</v>
      </c>
      <c r="M1270" s="236"/>
      <c r="N1270" s="236"/>
    </row>
    <row r="1271" spans="1:14" x14ac:dyDescent="0.3">
      <c r="A1271" s="237" t="str">
        <f>name!E$8</f>
        <v>Skilled trades occupations</v>
      </c>
      <c r="B1271" s="302">
        <v>1.5096731414297728</v>
      </c>
      <c r="C1271" s="302">
        <v>4.3812270733826173</v>
      </c>
      <c r="D1271" s="302">
        <f t="shared" si="460"/>
        <v>5.8909002148123903</v>
      </c>
      <c r="E1271" s="303"/>
      <c r="F1271" s="302">
        <v>1.8914533389034822</v>
      </c>
      <c r="G1271" s="302">
        <v>5.4691051198871996</v>
      </c>
      <c r="H1271" s="302">
        <f t="shared" si="461"/>
        <v>7.360558458790682</v>
      </c>
      <c r="I1271" s="303"/>
      <c r="J1271" s="302">
        <v>1.9673135532022108</v>
      </c>
      <c r="K1271" s="302">
        <v>6.6923332056702058</v>
      </c>
      <c r="L1271" s="302">
        <f t="shared" si="462"/>
        <v>8.659646758872416</v>
      </c>
      <c r="M1271" s="236"/>
      <c r="N1271" s="236"/>
    </row>
    <row r="1272" spans="1:14" x14ac:dyDescent="0.3">
      <c r="A1272" s="237" t="str">
        <f>name!E$9</f>
        <v>Caring, leisure and other service occupations</v>
      </c>
      <c r="B1272" s="302">
        <v>0.34692696007596463</v>
      </c>
      <c r="C1272" s="302">
        <v>0.28520049165102151</v>
      </c>
      <c r="D1272" s="302">
        <f t="shared" si="460"/>
        <v>0.63212745172698614</v>
      </c>
      <c r="E1272" s="303"/>
      <c r="F1272" s="302">
        <v>0.51267245853062293</v>
      </c>
      <c r="G1272" s="302">
        <v>0.38741771858489565</v>
      </c>
      <c r="H1272" s="302">
        <f t="shared" si="461"/>
        <v>0.90009017711551853</v>
      </c>
      <c r="I1272" s="303"/>
      <c r="J1272" s="302">
        <v>0.73068962548629057</v>
      </c>
      <c r="K1272" s="302">
        <v>0.59351602706524287</v>
      </c>
      <c r="L1272" s="302">
        <f t="shared" si="462"/>
        <v>1.3242056525515333</v>
      </c>
      <c r="M1272" s="236"/>
      <c r="N1272" s="236"/>
    </row>
    <row r="1273" spans="1:14" x14ac:dyDescent="0.3">
      <c r="A1273" s="237" t="str">
        <f>name!E$10</f>
        <v>Sales and customer service occupations</v>
      </c>
      <c r="B1273" s="302">
        <v>6.1269339069446653</v>
      </c>
      <c r="C1273" s="302">
        <v>7.4548526084596762</v>
      </c>
      <c r="D1273" s="302">
        <f t="shared" si="460"/>
        <v>13.581786515404342</v>
      </c>
      <c r="E1273" s="303"/>
      <c r="F1273" s="302">
        <v>6.0173363154546387</v>
      </c>
      <c r="G1273" s="302">
        <v>8.3564650135243976</v>
      </c>
      <c r="H1273" s="302">
        <f t="shared" si="461"/>
        <v>14.373801328979036</v>
      </c>
      <c r="I1273" s="303"/>
      <c r="J1273" s="302">
        <v>4.4602565485022954</v>
      </c>
      <c r="K1273" s="302">
        <v>6.8907338303996335</v>
      </c>
      <c r="L1273" s="302">
        <f t="shared" si="462"/>
        <v>11.35099037890193</v>
      </c>
      <c r="M1273" s="236"/>
      <c r="N1273" s="236"/>
    </row>
    <row r="1274" spans="1:14" x14ac:dyDescent="0.3">
      <c r="A1274" s="237" t="str">
        <f>name!E$11</f>
        <v>Process, plant and machine operatives</v>
      </c>
      <c r="B1274" s="302">
        <v>0.54825215525191584</v>
      </c>
      <c r="C1274" s="302">
        <v>2.012576409504097</v>
      </c>
      <c r="D1274" s="302">
        <f t="shared" si="460"/>
        <v>2.5608285647560129</v>
      </c>
      <c r="E1274" s="303"/>
      <c r="F1274" s="302">
        <v>0.6413767670488778</v>
      </c>
      <c r="G1274" s="302">
        <v>1.7380043522269097</v>
      </c>
      <c r="H1274" s="302">
        <f t="shared" si="461"/>
        <v>2.3793811192757874</v>
      </c>
      <c r="I1274" s="303"/>
      <c r="J1274" s="302">
        <v>0.78838940061277862</v>
      </c>
      <c r="K1274" s="302">
        <v>1.491555890309838</v>
      </c>
      <c r="L1274" s="302">
        <f t="shared" si="462"/>
        <v>2.2799452909226168</v>
      </c>
      <c r="M1274" s="236"/>
      <c r="N1274" s="236"/>
    </row>
    <row r="1275" spans="1:14" x14ac:dyDescent="0.3">
      <c r="A1275" s="237" t="str">
        <f>name!E$12</f>
        <v>Elementary occupations</v>
      </c>
      <c r="B1275" s="302">
        <v>0.95294755750477567</v>
      </c>
      <c r="C1275" s="302">
        <v>3.2915821037523569</v>
      </c>
      <c r="D1275" s="302">
        <f t="shared" si="460"/>
        <v>4.2445296612571326</v>
      </c>
      <c r="E1275" s="303"/>
      <c r="F1275" s="302">
        <v>0.85730056270189736</v>
      </c>
      <c r="G1275" s="302">
        <v>2.8164317912322181</v>
      </c>
      <c r="H1275" s="302">
        <f t="shared" si="461"/>
        <v>3.6737323539341156</v>
      </c>
      <c r="I1275" s="303"/>
      <c r="J1275" s="302">
        <v>0.89812223589989282</v>
      </c>
      <c r="K1275" s="302">
        <v>2.7043425025890984</v>
      </c>
      <c r="L1275" s="302">
        <f t="shared" si="462"/>
        <v>3.6024647384889912</v>
      </c>
      <c r="M1275" s="236"/>
      <c r="N1275" s="236"/>
    </row>
    <row r="1276" spans="1:14" x14ac:dyDescent="0.3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3">
      <c r="A1277" s="244" t="s">
        <v>32</v>
      </c>
      <c r="B1277" s="311">
        <f>SUM(B1267:B1275)</f>
        <v>19.163000000234099</v>
      </c>
      <c r="C1277" s="311">
        <f t="shared" ref="C1277:D1277" si="463">SUM(C1267:C1275)</f>
        <v>42.640999999866892</v>
      </c>
      <c r="D1277" s="311">
        <f t="shared" si="463"/>
        <v>61.804000000100991</v>
      </c>
      <c r="E1277" s="311"/>
      <c r="F1277" s="311">
        <f t="shared" ref="F1277:H1277" si="464">SUM(F1267:F1275)</f>
        <v>23.179999999900303</v>
      </c>
      <c r="G1277" s="311">
        <f t="shared" si="464"/>
        <v>51.367999999862668</v>
      </c>
      <c r="H1277" s="311">
        <f t="shared" si="464"/>
        <v>74.547999999762979</v>
      </c>
      <c r="I1277" s="311"/>
      <c r="J1277" s="311">
        <f t="shared" ref="J1277:L1277" si="465">SUM(J1267:J1275)</f>
        <v>22.411000000143151</v>
      </c>
      <c r="K1277" s="311">
        <f t="shared" si="465"/>
        <v>55.92200000008053</v>
      </c>
      <c r="L1277" s="311">
        <f t="shared" si="465"/>
        <v>78.333000000223677</v>
      </c>
      <c r="M1277" s="236"/>
      <c r="N1277" s="236"/>
    </row>
    <row r="1278" spans="1:14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3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3">
      <c r="A1281" s="241" t="str">
        <f>name!A78</f>
        <v>Other personal service</v>
      </c>
      <c r="B1281" s="373">
        <f>B$6</f>
        <v>2015</v>
      </c>
      <c r="C1281" s="373"/>
      <c r="D1281" s="373"/>
      <c r="E1281" s="253"/>
      <c r="F1281" s="373">
        <f>F$6</f>
        <v>2020</v>
      </c>
      <c r="G1281" s="373"/>
      <c r="H1281" s="373"/>
      <c r="I1281" s="253"/>
      <c r="J1281" s="373">
        <f>J$6</f>
        <v>2035</v>
      </c>
      <c r="K1281" s="373"/>
      <c r="L1281" s="373"/>
      <c r="M1281" s="236"/>
      <c r="N1281" s="236"/>
    </row>
    <row r="1282" spans="1:14" x14ac:dyDescent="0.3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3">
      <c r="A1284" s="237" t="str">
        <f>name!E$4</f>
        <v>Managers, directors and senior officials</v>
      </c>
      <c r="B1284" s="302">
        <v>14.554383367877673</v>
      </c>
      <c r="C1284" s="302">
        <v>21.289195859876951</v>
      </c>
      <c r="D1284" s="302">
        <f>SUM(B1284:C1284)</f>
        <v>35.843579227754624</v>
      </c>
      <c r="E1284" s="303"/>
      <c r="F1284" s="302">
        <v>20.376756873176806</v>
      </c>
      <c r="G1284" s="302">
        <v>19.644565377099152</v>
      </c>
      <c r="H1284" s="302">
        <f>SUM(F1284:G1284)</f>
        <v>40.021322250275958</v>
      </c>
      <c r="I1284" s="303"/>
      <c r="J1284" s="302">
        <v>25.348564713438414</v>
      </c>
      <c r="K1284" s="302">
        <v>23.675649958136805</v>
      </c>
      <c r="L1284" s="302">
        <f>SUM(J1284:K1284)</f>
        <v>49.024214671575223</v>
      </c>
      <c r="M1284" s="236"/>
      <c r="N1284" s="236"/>
    </row>
    <row r="1285" spans="1:14" x14ac:dyDescent="0.3">
      <c r="A1285" s="237" t="str">
        <f>name!E$5</f>
        <v>Professional occupations</v>
      </c>
      <c r="B1285" s="302">
        <v>14.085147527453527</v>
      </c>
      <c r="C1285" s="302">
        <v>18.377065684745432</v>
      </c>
      <c r="D1285" s="302">
        <f t="shared" ref="D1285:D1292" si="466">SUM(B1285:C1285)</f>
        <v>32.462213212198961</v>
      </c>
      <c r="E1285" s="303"/>
      <c r="F1285" s="302">
        <v>21.766696601623181</v>
      </c>
      <c r="G1285" s="302">
        <v>20.195510351751956</v>
      </c>
      <c r="H1285" s="302">
        <f t="shared" ref="H1285:H1292" si="467">SUM(F1285:G1285)</f>
        <v>41.962206953375137</v>
      </c>
      <c r="I1285" s="303"/>
      <c r="J1285" s="302">
        <v>23.116334087817322</v>
      </c>
      <c r="K1285" s="302">
        <v>23.832449730706692</v>
      </c>
      <c r="L1285" s="302">
        <f t="shared" ref="L1285:L1292" si="468">SUM(J1285:K1285)</f>
        <v>46.948783818524014</v>
      </c>
      <c r="M1285" s="236"/>
      <c r="N1285" s="236"/>
    </row>
    <row r="1286" spans="1:14" x14ac:dyDescent="0.3">
      <c r="A1286" s="237" t="str">
        <f>name!E$6</f>
        <v>Associate professional occupations</v>
      </c>
      <c r="B1286" s="302">
        <v>19.159308606063053</v>
      </c>
      <c r="C1286" s="302">
        <v>20.557624264025026</v>
      </c>
      <c r="D1286" s="302">
        <f t="shared" si="466"/>
        <v>39.71693287008808</v>
      </c>
      <c r="E1286" s="303"/>
      <c r="F1286" s="302">
        <v>26.726479753811198</v>
      </c>
      <c r="G1286" s="302">
        <v>21.248591519715585</v>
      </c>
      <c r="H1286" s="302">
        <f t="shared" si="467"/>
        <v>47.97507127352678</v>
      </c>
      <c r="I1286" s="303"/>
      <c r="J1286" s="302">
        <v>26.337793334271982</v>
      </c>
      <c r="K1286" s="302">
        <v>21.08723673663539</v>
      </c>
      <c r="L1286" s="302">
        <f t="shared" si="468"/>
        <v>47.425030070907368</v>
      </c>
      <c r="M1286" s="236"/>
      <c r="N1286" s="236"/>
    </row>
    <row r="1287" spans="1:14" x14ac:dyDescent="0.3">
      <c r="A1287" s="237" t="str">
        <f>name!E$7</f>
        <v>Administrative and secretarial occupations</v>
      </c>
      <c r="B1287" s="302">
        <v>16.129347682586747</v>
      </c>
      <c r="C1287" s="302">
        <v>5.2017637029450077</v>
      </c>
      <c r="D1287" s="302">
        <f t="shared" si="466"/>
        <v>21.331111385531756</v>
      </c>
      <c r="E1287" s="303"/>
      <c r="F1287" s="302">
        <v>18.826795934804558</v>
      </c>
      <c r="G1287" s="302">
        <v>5.9639198065681525</v>
      </c>
      <c r="H1287" s="302">
        <f t="shared" si="467"/>
        <v>24.790715741372711</v>
      </c>
      <c r="I1287" s="303"/>
      <c r="J1287" s="302">
        <v>21.597096383637002</v>
      </c>
      <c r="K1287" s="302">
        <v>6.4680437471075072</v>
      </c>
      <c r="L1287" s="302">
        <f t="shared" si="468"/>
        <v>28.06514013074451</v>
      </c>
      <c r="M1287" s="236"/>
      <c r="N1287" s="236"/>
    </row>
    <row r="1288" spans="1:14" x14ac:dyDescent="0.3">
      <c r="A1288" s="237" t="str">
        <f>name!E$8</f>
        <v>Skilled trades occupations</v>
      </c>
      <c r="B1288" s="302">
        <v>4.2498089933410226</v>
      </c>
      <c r="C1288" s="302">
        <v>16.220447450085057</v>
      </c>
      <c r="D1288" s="302">
        <f t="shared" si="466"/>
        <v>20.470256443426081</v>
      </c>
      <c r="E1288" s="303"/>
      <c r="F1288" s="302">
        <v>6.4345382172362315</v>
      </c>
      <c r="G1288" s="302">
        <v>12.613091921251831</v>
      </c>
      <c r="H1288" s="302">
        <f t="shared" si="467"/>
        <v>19.047630138488064</v>
      </c>
      <c r="I1288" s="303"/>
      <c r="J1288" s="302">
        <v>10.522954637254934</v>
      </c>
      <c r="K1288" s="302">
        <v>12.909151670873046</v>
      </c>
      <c r="L1288" s="302">
        <f t="shared" si="468"/>
        <v>23.432106308127977</v>
      </c>
      <c r="M1288" s="236"/>
      <c r="N1288" s="236"/>
    </row>
    <row r="1289" spans="1:14" x14ac:dyDescent="0.3">
      <c r="A1289" s="237" t="str">
        <f>name!E$9</f>
        <v>Caring, leisure and other service occupations</v>
      </c>
      <c r="B1289" s="302">
        <v>152.47937706942878</v>
      </c>
      <c r="C1289" s="302">
        <v>43.570522758368476</v>
      </c>
      <c r="D1289" s="302">
        <f t="shared" si="466"/>
        <v>196.04989982779725</v>
      </c>
      <c r="E1289" s="303"/>
      <c r="F1289" s="302">
        <v>163.74407566663203</v>
      </c>
      <c r="G1289" s="302">
        <v>43.11545192485157</v>
      </c>
      <c r="H1289" s="302">
        <f t="shared" si="467"/>
        <v>206.85952759148358</v>
      </c>
      <c r="I1289" s="303"/>
      <c r="J1289" s="302">
        <v>139.92750996073866</v>
      </c>
      <c r="K1289" s="302">
        <v>45.807129912963369</v>
      </c>
      <c r="L1289" s="302">
        <f t="shared" si="468"/>
        <v>185.73463987370204</v>
      </c>
      <c r="M1289" s="236"/>
      <c r="N1289" s="236"/>
    </row>
    <row r="1290" spans="1:14" x14ac:dyDescent="0.3">
      <c r="A1290" s="237" t="str">
        <f>name!E$10</f>
        <v>Sales and customer service occupations</v>
      </c>
      <c r="B1290" s="302">
        <v>8.7263926299290837</v>
      </c>
      <c r="C1290" s="302">
        <v>8.0389480710148717</v>
      </c>
      <c r="D1290" s="302">
        <f t="shared" si="466"/>
        <v>16.765340700943955</v>
      </c>
      <c r="E1290" s="303"/>
      <c r="F1290" s="302">
        <v>9.2142508705098827</v>
      </c>
      <c r="G1290" s="302">
        <v>7.8599397684665053</v>
      </c>
      <c r="H1290" s="302">
        <f t="shared" si="467"/>
        <v>17.07419063897639</v>
      </c>
      <c r="I1290" s="303"/>
      <c r="J1290" s="302">
        <v>8.6401829559017322</v>
      </c>
      <c r="K1290" s="302">
        <v>9.3779337947980057</v>
      </c>
      <c r="L1290" s="302">
        <f t="shared" si="468"/>
        <v>18.01811675069974</v>
      </c>
      <c r="M1290" s="236"/>
      <c r="N1290" s="236"/>
    </row>
    <row r="1291" spans="1:14" x14ac:dyDescent="0.3">
      <c r="A1291" s="237" t="str">
        <f>name!E$11</f>
        <v>Process, plant and machine operatives</v>
      </c>
      <c r="B1291" s="302">
        <v>1.4188944459413475</v>
      </c>
      <c r="C1291" s="302">
        <v>11.110991413033091</v>
      </c>
      <c r="D1291" s="302">
        <f t="shared" si="466"/>
        <v>12.529885858974438</v>
      </c>
      <c r="E1291" s="303"/>
      <c r="F1291" s="302">
        <v>1.5002381155911118</v>
      </c>
      <c r="G1291" s="302">
        <v>10.258254854353719</v>
      </c>
      <c r="H1291" s="302">
        <f t="shared" si="467"/>
        <v>11.758492969944831</v>
      </c>
      <c r="I1291" s="303"/>
      <c r="J1291" s="302">
        <v>2.1006429026140521</v>
      </c>
      <c r="K1291" s="302">
        <v>8.9538874822300247</v>
      </c>
      <c r="L1291" s="302">
        <f t="shared" si="468"/>
        <v>11.054530384844076</v>
      </c>
      <c r="M1291" s="236"/>
      <c r="N1291" s="236"/>
    </row>
    <row r="1292" spans="1:14" x14ac:dyDescent="0.3">
      <c r="A1292" s="237" t="str">
        <f>name!E$12</f>
        <v>Elementary occupations</v>
      </c>
      <c r="B1292" s="302">
        <v>10.134339680547265</v>
      </c>
      <c r="C1292" s="302">
        <v>24.609440797357617</v>
      </c>
      <c r="D1292" s="302">
        <f t="shared" si="466"/>
        <v>34.743780477904885</v>
      </c>
      <c r="E1292" s="303"/>
      <c r="F1292" s="302">
        <v>9.7091679646070475</v>
      </c>
      <c r="G1292" s="302">
        <v>21.063674476974054</v>
      </c>
      <c r="H1292" s="302">
        <f t="shared" si="467"/>
        <v>30.772842441581101</v>
      </c>
      <c r="I1292" s="303"/>
      <c r="J1292" s="302">
        <v>7.346921023736563</v>
      </c>
      <c r="K1292" s="302">
        <v>19.223516967908392</v>
      </c>
      <c r="L1292" s="302">
        <f t="shared" si="468"/>
        <v>26.570437991644955</v>
      </c>
      <c r="M1292" s="236"/>
      <c r="N1292" s="236"/>
    </row>
    <row r="1293" spans="1:14" x14ac:dyDescent="0.3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3">
      <c r="A1294" s="244" t="s">
        <v>32</v>
      </c>
      <c r="B1294" s="311">
        <f>SUM(B1284:B1292)</f>
        <v>240.93700000316849</v>
      </c>
      <c r="C1294" s="311">
        <f t="shared" ref="C1294:D1294" si="469">SUM(C1284:C1292)</f>
        <v>168.97600000145152</v>
      </c>
      <c r="D1294" s="311">
        <f t="shared" si="469"/>
        <v>409.91300000462007</v>
      </c>
      <c r="E1294" s="311"/>
      <c r="F1294" s="311">
        <f t="shared" ref="F1294:H1294" si="470">SUM(F1284:F1292)</f>
        <v>278.29899999799204</v>
      </c>
      <c r="G1294" s="311">
        <f t="shared" si="470"/>
        <v>161.96300000103253</v>
      </c>
      <c r="H1294" s="311">
        <f t="shared" si="470"/>
        <v>440.26199999902457</v>
      </c>
      <c r="I1294" s="311"/>
      <c r="J1294" s="311">
        <f t="shared" ref="J1294:L1294" si="471">SUM(J1284:J1292)</f>
        <v>264.93799999941069</v>
      </c>
      <c r="K1294" s="311">
        <f t="shared" si="471"/>
        <v>171.33500000135919</v>
      </c>
      <c r="L1294" s="311">
        <f t="shared" si="471"/>
        <v>436.27300000076991</v>
      </c>
      <c r="M1294" s="236"/>
      <c r="N1294" s="236"/>
    </row>
    <row r="1295" spans="1:14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45" x14ac:dyDescent="0.3"/>
  <cols>
    <col min="1" max="1" width="37.84375" customWidth="1"/>
    <col min="2" max="2" width="6.69140625" bestFit="1" customWidth="1"/>
    <col min="3" max="4" width="5.69140625" bestFit="1" customWidth="1"/>
    <col min="5" max="5" width="6.69140625" bestFit="1" customWidth="1"/>
    <col min="6" max="6" width="4.69140625" customWidth="1"/>
    <col min="7" max="7" width="6.69140625" bestFit="1" customWidth="1"/>
    <col min="8" max="9" width="5.69140625" bestFit="1" customWidth="1"/>
    <col min="10" max="10" width="6.69140625" bestFit="1" customWidth="1"/>
    <col min="11" max="11" width="4.84375" customWidth="1"/>
    <col min="12" max="12" width="6.69140625" bestFit="1" customWidth="1"/>
    <col min="13" max="14" width="5.69140625" bestFit="1" customWidth="1"/>
    <col min="15" max="15" width="6.69140625" bestFit="1" customWidth="1"/>
    <col min="259" max="259" width="33.15234375" bestFit="1" customWidth="1"/>
    <col min="260" max="262" width="7.15234375" customWidth="1"/>
    <col min="263" max="263" width="5" customWidth="1"/>
    <col min="264" max="266" width="7.15234375" customWidth="1"/>
    <col min="267" max="267" width="5" customWidth="1"/>
    <col min="268" max="270" width="7.15234375" customWidth="1"/>
    <col min="515" max="515" width="33.15234375" bestFit="1" customWidth="1"/>
    <col min="516" max="518" width="7.15234375" customWidth="1"/>
    <col min="519" max="519" width="5" customWidth="1"/>
    <col min="520" max="522" width="7.15234375" customWidth="1"/>
    <col min="523" max="523" width="5" customWidth="1"/>
    <col min="524" max="526" width="7.15234375" customWidth="1"/>
    <col min="771" max="771" width="33.15234375" bestFit="1" customWidth="1"/>
    <col min="772" max="774" width="7.15234375" customWidth="1"/>
    <col min="775" max="775" width="5" customWidth="1"/>
    <col min="776" max="778" width="7.15234375" customWidth="1"/>
    <col min="779" max="779" width="5" customWidth="1"/>
    <col min="780" max="782" width="7.15234375" customWidth="1"/>
    <col min="1027" max="1027" width="33.15234375" bestFit="1" customWidth="1"/>
    <col min="1028" max="1030" width="7.15234375" customWidth="1"/>
    <col min="1031" max="1031" width="5" customWidth="1"/>
    <col min="1032" max="1034" width="7.15234375" customWidth="1"/>
    <col min="1035" max="1035" width="5" customWidth="1"/>
    <col min="1036" max="1038" width="7.15234375" customWidth="1"/>
    <col min="1283" max="1283" width="33.15234375" bestFit="1" customWidth="1"/>
    <col min="1284" max="1286" width="7.15234375" customWidth="1"/>
    <col min="1287" max="1287" width="5" customWidth="1"/>
    <col min="1288" max="1290" width="7.15234375" customWidth="1"/>
    <col min="1291" max="1291" width="5" customWidth="1"/>
    <col min="1292" max="1294" width="7.15234375" customWidth="1"/>
    <col min="1539" max="1539" width="33.15234375" bestFit="1" customWidth="1"/>
    <col min="1540" max="1542" width="7.15234375" customWidth="1"/>
    <col min="1543" max="1543" width="5" customWidth="1"/>
    <col min="1544" max="1546" width="7.15234375" customWidth="1"/>
    <col min="1547" max="1547" width="5" customWidth="1"/>
    <col min="1548" max="1550" width="7.15234375" customWidth="1"/>
    <col min="1795" max="1795" width="33.15234375" bestFit="1" customWidth="1"/>
    <col min="1796" max="1798" width="7.15234375" customWidth="1"/>
    <col min="1799" max="1799" width="5" customWidth="1"/>
    <col min="1800" max="1802" width="7.15234375" customWidth="1"/>
    <col min="1803" max="1803" width="5" customWidth="1"/>
    <col min="1804" max="1806" width="7.15234375" customWidth="1"/>
    <col min="2051" max="2051" width="33.15234375" bestFit="1" customWidth="1"/>
    <col min="2052" max="2054" width="7.15234375" customWidth="1"/>
    <col min="2055" max="2055" width="5" customWidth="1"/>
    <col min="2056" max="2058" width="7.15234375" customWidth="1"/>
    <col min="2059" max="2059" width="5" customWidth="1"/>
    <col min="2060" max="2062" width="7.15234375" customWidth="1"/>
    <col min="2307" max="2307" width="33.15234375" bestFit="1" customWidth="1"/>
    <col min="2308" max="2310" width="7.15234375" customWidth="1"/>
    <col min="2311" max="2311" width="5" customWidth="1"/>
    <col min="2312" max="2314" width="7.15234375" customWidth="1"/>
    <col min="2315" max="2315" width="5" customWidth="1"/>
    <col min="2316" max="2318" width="7.15234375" customWidth="1"/>
    <col min="2563" max="2563" width="33.15234375" bestFit="1" customWidth="1"/>
    <col min="2564" max="2566" width="7.15234375" customWidth="1"/>
    <col min="2567" max="2567" width="5" customWidth="1"/>
    <col min="2568" max="2570" width="7.15234375" customWidth="1"/>
    <col min="2571" max="2571" width="5" customWidth="1"/>
    <col min="2572" max="2574" width="7.15234375" customWidth="1"/>
    <col min="2819" max="2819" width="33.15234375" bestFit="1" customWidth="1"/>
    <col min="2820" max="2822" width="7.15234375" customWidth="1"/>
    <col min="2823" max="2823" width="5" customWidth="1"/>
    <col min="2824" max="2826" width="7.15234375" customWidth="1"/>
    <col min="2827" max="2827" width="5" customWidth="1"/>
    <col min="2828" max="2830" width="7.15234375" customWidth="1"/>
    <col min="3075" max="3075" width="33.15234375" bestFit="1" customWidth="1"/>
    <col min="3076" max="3078" width="7.15234375" customWidth="1"/>
    <col min="3079" max="3079" width="5" customWidth="1"/>
    <col min="3080" max="3082" width="7.15234375" customWidth="1"/>
    <col min="3083" max="3083" width="5" customWidth="1"/>
    <col min="3084" max="3086" width="7.15234375" customWidth="1"/>
    <col min="3331" max="3331" width="33.15234375" bestFit="1" customWidth="1"/>
    <col min="3332" max="3334" width="7.15234375" customWidth="1"/>
    <col min="3335" max="3335" width="5" customWidth="1"/>
    <col min="3336" max="3338" width="7.15234375" customWidth="1"/>
    <col min="3339" max="3339" width="5" customWidth="1"/>
    <col min="3340" max="3342" width="7.15234375" customWidth="1"/>
    <col min="3587" max="3587" width="33.15234375" bestFit="1" customWidth="1"/>
    <col min="3588" max="3590" width="7.15234375" customWidth="1"/>
    <col min="3591" max="3591" width="5" customWidth="1"/>
    <col min="3592" max="3594" width="7.15234375" customWidth="1"/>
    <col min="3595" max="3595" width="5" customWidth="1"/>
    <col min="3596" max="3598" width="7.15234375" customWidth="1"/>
    <col min="3843" max="3843" width="33.15234375" bestFit="1" customWidth="1"/>
    <col min="3844" max="3846" width="7.15234375" customWidth="1"/>
    <col min="3847" max="3847" width="5" customWidth="1"/>
    <col min="3848" max="3850" width="7.15234375" customWidth="1"/>
    <col min="3851" max="3851" width="5" customWidth="1"/>
    <col min="3852" max="3854" width="7.15234375" customWidth="1"/>
    <col min="4099" max="4099" width="33.15234375" bestFit="1" customWidth="1"/>
    <col min="4100" max="4102" width="7.15234375" customWidth="1"/>
    <col min="4103" max="4103" width="5" customWidth="1"/>
    <col min="4104" max="4106" width="7.15234375" customWidth="1"/>
    <col min="4107" max="4107" width="5" customWidth="1"/>
    <col min="4108" max="4110" width="7.15234375" customWidth="1"/>
    <col min="4355" max="4355" width="33.15234375" bestFit="1" customWidth="1"/>
    <col min="4356" max="4358" width="7.15234375" customWidth="1"/>
    <col min="4359" max="4359" width="5" customWidth="1"/>
    <col min="4360" max="4362" width="7.15234375" customWidth="1"/>
    <col min="4363" max="4363" width="5" customWidth="1"/>
    <col min="4364" max="4366" width="7.15234375" customWidth="1"/>
    <col min="4611" max="4611" width="33.15234375" bestFit="1" customWidth="1"/>
    <col min="4612" max="4614" width="7.15234375" customWidth="1"/>
    <col min="4615" max="4615" width="5" customWidth="1"/>
    <col min="4616" max="4618" width="7.15234375" customWidth="1"/>
    <col min="4619" max="4619" width="5" customWidth="1"/>
    <col min="4620" max="4622" width="7.15234375" customWidth="1"/>
    <col min="4867" max="4867" width="33.15234375" bestFit="1" customWidth="1"/>
    <col min="4868" max="4870" width="7.15234375" customWidth="1"/>
    <col min="4871" max="4871" width="5" customWidth="1"/>
    <col min="4872" max="4874" width="7.15234375" customWidth="1"/>
    <col min="4875" max="4875" width="5" customWidth="1"/>
    <col min="4876" max="4878" width="7.15234375" customWidth="1"/>
    <col min="5123" max="5123" width="33.15234375" bestFit="1" customWidth="1"/>
    <col min="5124" max="5126" width="7.15234375" customWidth="1"/>
    <col min="5127" max="5127" width="5" customWidth="1"/>
    <col min="5128" max="5130" width="7.15234375" customWidth="1"/>
    <col min="5131" max="5131" width="5" customWidth="1"/>
    <col min="5132" max="5134" width="7.15234375" customWidth="1"/>
    <col min="5379" max="5379" width="33.15234375" bestFit="1" customWidth="1"/>
    <col min="5380" max="5382" width="7.15234375" customWidth="1"/>
    <col min="5383" max="5383" width="5" customWidth="1"/>
    <col min="5384" max="5386" width="7.15234375" customWidth="1"/>
    <col min="5387" max="5387" width="5" customWidth="1"/>
    <col min="5388" max="5390" width="7.15234375" customWidth="1"/>
    <col min="5635" max="5635" width="33.15234375" bestFit="1" customWidth="1"/>
    <col min="5636" max="5638" width="7.15234375" customWidth="1"/>
    <col min="5639" max="5639" width="5" customWidth="1"/>
    <col min="5640" max="5642" width="7.15234375" customWidth="1"/>
    <col min="5643" max="5643" width="5" customWidth="1"/>
    <col min="5644" max="5646" width="7.15234375" customWidth="1"/>
    <col min="5891" max="5891" width="33.15234375" bestFit="1" customWidth="1"/>
    <col min="5892" max="5894" width="7.15234375" customWidth="1"/>
    <col min="5895" max="5895" width="5" customWidth="1"/>
    <col min="5896" max="5898" width="7.15234375" customWidth="1"/>
    <col min="5899" max="5899" width="5" customWidth="1"/>
    <col min="5900" max="5902" width="7.15234375" customWidth="1"/>
    <col min="6147" max="6147" width="33.15234375" bestFit="1" customWidth="1"/>
    <col min="6148" max="6150" width="7.15234375" customWidth="1"/>
    <col min="6151" max="6151" width="5" customWidth="1"/>
    <col min="6152" max="6154" width="7.15234375" customWidth="1"/>
    <col min="6155" max="6155" width="5" customWidth="1"/>
    <col min="6156" max="6158" width="7.15234375" customWidth="1"/>
    <col min="6403" max="6403" width="33.15234375" bestFit="1" customWidth="1"/>
    <col min="6404" max="6406" width="7.15234375" customWidth="1"/>
    <col min="6407" max="6407" width="5" customWidth="1"/>
    <col min="6408" max="6410" width="7.15234375" customWidth="1"/>
    <col min="6411" max="6411" width="5" customWidth="1"/>
    <col min="6412" max="6414" width="7.15234375" customWidth="1"/>
    <col min="6659" max="6659" width="33.15234375" bestFit="1" customWidth="1"/>
    <col min="6660" max="6662" width="7.15234375" customWidth="1"/>
    <col min="6663" max="6663" width="5" customWidth="1"/>
    <col min="6664" max="6666" width="7.15234375" customWidth="1"/>
    <col min="6667" max="6667" width="5" customWidth="1"/>
    <col min="6668" max="6670" width="7.15234375" customWidth="1"/>
    <col min="6915" max="6915" width="33.15234375" bestFit="1" customWidth="1"/>
    <col min="6916" max="6918" width="7.15234375" customWidth="1"/>
    <col min="6919" max="6919" width="5" customWidth="1"/>
    <col min="6920" max="6922" width="7.15234375" customWidth="1"/>
    <col min="6923" max="6923" width="5" customWidth="1"/>
    <col min="6924" max="6926" width="7.15234375" customWidth="1"/>
    <col min="7171" max="7171" width="33.15234375" bestFit="1" customWidth="1"/>
    <col min="7172" max="7174" width="7.15234375" customWidth="1"/>
    <col min="7175" max="7175" width="5" customWidth="1"/>
    <col min="7176" max="7178" width="7.15234375" customWidth="1"/>
    <col min="7179" max="7179" width="5" customWidth="1"/>
    <col min="7180" max="7182" width="7.15234375" customWidth="1"/>
    <col min="7427" max="7427" width="33.15234375" bestFit="1" customWidth="1"/>
    <col min="7428" max="7430" width="7.15234375" customWidth="1"/>
    <col min="7431" max="7431" width="5" customWidth="1"/>
    <col min="7432" max="7434" width="7.15234375" customWidth="1"/>
    <col min="7435" max="7435" width="5" customWidth="1"/>
    <col min="7436" max="7438" width="7.15234375" customWidth="1"/>
    <col min="7683" max="7683" width="33.15234375" bestFit="1" customWidth="1"/>
    <col min="7684" max="7686" width="7.15234375" customWidth="1"/>
    <col min="7687" max="7687" width="5" customWidth="1"/>
    <col min="7688" max="7690" width="7.15234375" customWidth="1"/>
    <col min="7691" max="7691" width="5" customWidth="1"/>
    <col min="7692" max="7694" width="7.15234375" customWidth="1"/>
    <col min="7939" max="7939" width="33.15234375" bestFit="1" customWidth="1"/>
    <col min="7940" max="7942" width="7.15234375" customWidth="1"/>
    <col min="7943" max="7943" width="5" customWidth="1"/>
    <col min="7944" max="7946" width="7.15234375" customWidth="1"/>
    <col min="7947" max="7947" width="5" customWidth="1"/>
    <col min="7948" max="7950" width="7.15234375" customWidth="1"/>
    <col min="8195" max="8195" width="33.15234375" bestFit="1" customWidth="1"/>
    <col min="8196" max="8198" width="7.15234375" customWidth="1"/>
    <col min="8199" max="8199" width="5" customWidth="1"/>
    <col min="8200" max="8202" width="7.15234375" customWidth="1"/>
    <col min="8203" max="8203" width="5" customWidth="1"/>
    <col min="8204" max="8206" width="7.15234375" customWidth="1"/>
    <col min="8451" max="8451" width="33.15234375" bestFit="1" customWidth="1"/>
    <col min="8452" max="8454" width="7.15234375" customWidth="1"/>
    <col min="8455" max="8455" width="5" customWidth="1"/>
    <col min="8456" max="8458" width="7.15234375" customWidth="1"/>
    <col min="8459" max="8459" width="5" customWidth="1"/>
    <col min="8460" max="8462" width="7.15234375" customWidth="1"/>
    <col min="8707" max="8707" width="33.15234375" bestFit="1" customWidth="1"/>
    <col min="8708" max="8710" width="7.15234375" customWidth="1"/>
    <col min="8711" max="8711" width="5" customWidth="1"/>
    <col min="8712" max="8714" width="7.15234375" customWidth="1"/>
    <col min="8715" max="8715" width="5" customWidth="1"/>
    <col min="8716" max="8718" width="7.15234375" customWidth="1"/>
    <col min="8963" max="8963" width="33.15234375" bestFit="1" customWidth="1"/>
    <col min="8964" max="8966" width="7.15234375" customWidth="1"/>
    <col min="8967" max="8967" width="5" customWidth="1"/>
    <col min="8968" max="8970" width="7.15234375" customWidth="1"/>
    <col min="8971" max="8971" width="5" customWidth="1"/>
    <col min="8972" max="8974" width="7.15234375" customWidth="1"/>
    <col min="9219" max="9219" width="33.15234375" bestFit="1" customWidth="1"/>
    <col min="9220" max="9222" width="7.15234375" customWidth="1"/>
    <col min="9223" max="9223" width="5" customWidth="1"/>
    <col min="9224" max="9226" width="7.15234375" customWidth="1"/>
    <col min="9227" max="9227" width="5" customWidth="1"/>
    <col min="9228" max="9230" width="7.15234375" customWidth="1"/>
    <col min="9475" max="9475" width="33.15234375" bestFit="1" customWidth="1"/>
    <col min="9476" max="9478" width="7.15234375" customWidth="1"/>
    <col min="9479" max="9479" width="5" customWidth="1"/>
    <col min="9480" max="9482" width="7.15234375" customWidth="1"/>
    <col min="9483" max="9483" width="5" customWidth="1"/>
    <col min="9484" max="9486" width="7.15234375" customWidth="1"/>
    <col min="9731" max="9731" width="33.15234375" bestFit="1" customWidth="1"/>
    <col min="9732" max="9734" width="7.15234375" customWidth="1"/>
    <col min="9735" max="9735" width="5" customWidth="1"/>
    <col min="9736" max="9738" width="7.15234375" customWidth="1"/>
    <col min="9739" max="9739" width="5" customWidth="1"/>
    <col min="9740" max="9742" width="7.15234375" customWidth="1"/>
    <col min="9987" max="9987" width="33.15234375" bestFit="1" customWidth="1"/>
    <col min="9988" max="9990" width="7.15234375" customWidth="1"/>
    <col min="9991" max="9991" width="5" customWidth="1"/>
    <col min="9992" max="9994" width="7.15234375" customWidth="1"/>
    <col min="9995" max="9995" width="5" customWidth="1"/>
    <col min="9996" max="9998" width="7.15234375" customWidth="1"/>
    <col min="10243" max="10243" width="33.15234375" bestFit="1" customWidth="1"/>
    <col min="10244" max="10246" width="7.15234375" customWidth="1"/>
    <col min="10247" max="10247" width="5" customWidth="1"/>
    <col min="10248" max="10250" width="7.15234375" customWidth="1"/>
    <col min="10251" max="10251" width="5" customWidth="1"/>
    <col min="10252" max="10254" width="7.15234375" customWidth="1"/>
    <col min="10499" max="10499" width="33.15234375" bestFit="1" customWidth="1"/>
    <col min="10500" max="10502" width="7.15234375" customWidth="1"/>
    <col min="10503" max="10503" width="5" customWidth="1"/>
    <col min="10504" max="10506" width="7.15234375" customWidth="1"/>
    <col min="10507" max="10507" width="5" customWidth="1"/>
    <col min="10508" max="10510" width="7.15234375" customWidth="1"/>
    <col min="10755" max="10755" width="33.15234375" bestFit="1" customWidth="1"/>
    <col min="10756" max="10758" width="7.15234375" customWidth="1"/>
    <col min="10759" max="10759" width="5" customWidth="1"/>
    <col min="10760" max="10762" width="7.15234375" customWidth="1"/>
    <col min="10763" max="10763" width="5" customWidth="1"/>
    <col min="10764" max="10766" width="7.15234375" customWidth="1"/>
    <col min="11011" max="11011" width="33.15234375" bestFit="1" customWidth="1"/>
    <col min="11012" max="11014" width="7.15234375" customWidth="1"/>
    <col min="11015" max="11015" width="5" customWidth="1"/>
    <col min="11016" max="11018" width="7.15234375" customWidth="1"/>
    <col min="11019" max="11019" width="5" customWidth="1"/>
    <col min="11020" max="11022" width="7.15234375" customWidth="1"/>
    <col min="11267" max="11267" width="33.15234375" bestFit="1" customWidth="1"/>
    <col min="11268" max="11270" width="7.15234375" customWidth="1"/>
    <col min="11271" max="11271" width="5" customWidth="1"/>
    <col min="11272" max="11274" width="7.15234375" customWidth="1"/>
    <col min="11275" max="11275" width="5" customWidth="1"/>
    <col min="11276" max="11278" width="7.15234375" customWidth="1"/>
    <col min="11523" max="11523" width="33.15234375" bestFit="1" customWidth="1"/>
    <col min="11524" max="11526" width="7.15234375" customWidth="1"/>
    <col min="11527" max="11527" width="5" customWidth="1"/>
    <col min="11528" max="11530" width="7.15234375" customWidth="1"/>
    <col min="11531" max="11531" width="5" customWidth="1"/>
    <col min="11532" max="11534" width="7.15234375" customWidth="1"/>
    <col min="11779" max="11779" width="33.15234375" bestFit="1" customWidth="1"/>
    <col min="11780" max="11782" width="7.15234375" customWidth="1"/>
    <col min="11783" max="11783" width="5" customWidth="1"/>
    <col min="11784" max="11786" width="7.15234375" customWidth="1"/>
    <col min="11787" max="11787" width="5" customWidth="1"/>
    <col min="11788" max="11790" width="7.15234375" customWidth="1"/>
    <col min="12035" max="12035" width="33.15234375" bestFit="1" customWidth="1"/>
    <col min="12036" max="12038" width="7.15234375" customWidth="1"/>
    <col min="12039" max="12039" width="5" customWidth="1"/>
    <col min="12040" max="12042" width="7.15234375" customWidth="1"/>
    <col min="12043" max="12043" width="5" customWidth="1"/>
    <col min="12044" max="12046" width="7.15234375" customWidth="1"/>
    <col min="12291" max="12291" width="33.15234375" bestFit="1" customWidth="1"/>
    <col min="12292" max="12294" width="7.15234375" customWidth="1"/>
    <col min="12295" max="12295" width="5" customWidth="1"/>
    <col min="12296" max="12298" width="7.15234375" customWidth="1"/>
    <col min="12299" max="12299" width="5" customWidth="1"/>
    <col min="12300" max="12302" width="7.15234375" customWidth="1"/>
    <col min="12547" max="12547" width="33.15234375" bestFit="1" customWidth="1"/>
    <col min="12548" max="12550" width="7.15234375" customWidth="1"/>
    <col min="12551" max="12551" width="5" customWidth="1"/>
    <col min="12552" max="12554" width="7.15234375" customWidth="1"/>
    <col min="12555" max="12555" width="5" customWidth="1"/>
    <col min="12556" max="12558" width="7.15234375" customWidth="1"/>
    <col min="12803" max="12803" width="33.15234375" bestFit="1" customWidth="1"/>
    <col min="12804" max="12806" width="7.15234375" customWidth="1"/>
    <col min="12807" max="12807" width="5" customWidth="1"/>
    <col min="12808" max="12810" width="7.15234375" customWidth="1"/>
    <col min="12811" max="12811" width="5" customWidth="1"/>
    <col min="12812" max="12814" width="7.15234375" customWidth="1"/>
    <col min="13059" max="13059" width="33.15234375" bestFit="1" customWidth="1"/>
    <col min="13060" max="13062" width="7.15234375" customWidth="1"/>
    <col min="13063" max="13063" width="5" customWidth="1"/>
    <col min="13064" max="13066" width="7.15234375" customWidth="1"/>
    <col min="13067" max="13067" width="5" customWidth="1"/>
    <col min="13068" max="13070" width="7.15234375" customWidth="1"/>
    <col min="13315" max="13315" width="33.15234375" bestFit="1" customWidth="1"/>
    <col min="13316" max="13318" width="7.15234375" customWidth="1"/>
    <col min="13319" max="13319" width="5" customWidth="1"/>
    <col min="13320" max="13322" width="7.15234375" customWidth="1"/>
    <col min="13323" max="13323" width="5" customWidth="1"/>
    <col min="13324" max="13326" width="7.15234375" customWidth="1"/>
    <col min="13571" max="13571" width="33.15234375" bestFit="1" customWidth="1"/>
    <col min="13572" max="13574" width="7.15234375" customWidth="1"/>
    <col min="13575" max="13575" width="5" customWidth="1"/>
    <col min="13576" max="13578" width="7.15234375" customWidth="1"/>
    <col min="13579" max="13579" width="5" customWidth="1"/>
    <col min="13580" max="13582" width="7.15234375" customWidth="1"/>
    <col min="13827" max="13827" width="33.15234375" bestFit="1" customWidth="1"/>
    <col min="13828" max="13830" width="7.15234375" customWidth="1"/>
    <col min="13831" max="13831" width="5" customWidth="1"/>
    <col min="13832" max="13834" width="7.15234375" customWidth="1"/>
    <col min="13835" max="13835" width="5" customWidth="1"/>
    <col min="13836" max="13838" width="7.15234375" customWidth="1"/>
    <col min="14083" max="14083" width="33.15234375" bestFit="1" customWidth="1"/>
    <col min="14084" max="14086" width="7.15234375" customWidth="1"/>
    <col min="14087" max="14087" width="5" customWidth="1"/>
    <col min="14088" max="14090" width="7.15234375" customWidth="1"/>
    <col min="14091" max="14091" width="5" customWidth="1"/>
    <col min="14092" max="14094" width="7.15234375" customWidth="1"/>
    <col min="14339" max="14339" width="33.15234375" bestFit="1" customWidth="1"/>
    <col min="14340" max="14342" width="7.15234375" customWidth="1"/>
    <col min="14343" max="14343" width="5" customWidth="1"/>
    <col min="14344" max="14346" width="7.15234375" customWidth="1"/>
    <col min="14347" max="14347" width="5" customWidth="1"/>
    <col min="14348" max="14350" width="7.15234375" customWidth="1"/>
    <col min="14595" max="14595" width="33.15234375" bestFit="1" customWidth="1"/>
    <col min="14596" max="14598" width="7.15234375" customWidth="1"/>
    <col min="14599" max="14599" width="5" customWidth="1"/>
    <col min="14600" max="14602" width="7.15234375" customWidth="1"/>
    <col min="14603" max="14603" width="5" customWidth="1"/>
    <col min="14604" max="14606" width="7.15234375" customWidth="1"/>
    <col min="14851" max="14851" width="33.15234375" bestFit="1" customWidth="1"/>
    <col min="14852" max="14854" width="7.15234375" customWidth="1"/>
    <col min="14855" max="14855" width="5" customWidth="1"/>
    <col min="14856" max="14858" width="7.15234375" customWidth="1"/>
    <col min="14859" max="14859" width="5" customWidth="1"/>
    <col min="14860" max="14862" width="7.15234375" customWidth="1"/>
    <col min="15107" max="15107" width="33.15234375" bestFit="1" customWidth="1"/>
    <col min="15108" max="15110" width="7.15234375" customWidth="1"/>
    <col min="15111" max="15111" width="5" customWidth="1"/>
    <col min="15112" max="15114" width="7.15234375" customWidth="1"/>
    <col min="15115" max="15115" width="5" customWidth="1"/>
    <col min="15116" max="15118" width="7.15234375" customWidth="1"/>
    <col min="15363" max="15363" width="33.15234375" bestFit="1" customWidth="1"/>
    <col min="15364" max="15366" width="7.15234375" customWidth="1"/>
    <col min="15367" max="15367" width="5" customWidth="1"/>
    <col min="15368" max="15370" width="7.15234375" customWidth="1"/>
    <col min="15371" max="15371" width="5" customWidth="1"/>
    <col min="15372" max="15374" width="7.15234375" customWidth="1"/>
    <col min="15619" max="15619" width="33.15234375" bestFit="1" customWidth="1"/>
    <col min="15620" max="15622" width="7.15234375" customWidth="1"/>
    <col min="15623" max="15623" width="5" customWidth="1"/>
    <col min="15624" max="15626" width="7.15234375" customWidth="1"/>
    <col min="15627" max="15627" width="5" customWidth="1"/>
    <col min="15628" max="15630" width="7.15234375" customWidth="1"/>
    <col min="15875" max="15875" width="33.15234375" bestFit="1" customWidth="1"/>
    <col min="15876" max="15878" width="7.15234375" customWidth="1"/>
    <col min="15879" max="15879" width="5" customWidth="1"/>
    <col min="15880" max="15882" width="7.15234375" customWidth="1"/>
    <col min="15883" max="15883" width="5" customWidth="1"/>
    <col min="15884" max="15886" width="7.15234375" customWidth="1"/>
    <col min="16131" max="16131" width="33.15234375" bestFit="1" customWidth="1"/>
    <col min="16132" max="16134" width="7.15234375" customWidth="1"/>
    <col min="16135" max="16135" width="5" customWidth="1"/>
    <col min="16136" max="16138" width="7.15234375" customWidth="1"/>
    <col min="16139" max="16139" width="5" customWidth="1"/>
    <col min="16140" max="16142" width="7.15234375" customWidth="1"/>
  </cols>
  <sheetData>
    <row r="1" spans="1:23" ht="15.45" x14ac:dyDescent="0.4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England</v>
      </c>
    </row>
    <row r="2" spans="1:23" x14ac:dyDescent="0.3">
      <c r="A2" s="258" t="s">
        <v>533</v>
      </c>
    </row>
    <row r="4" spans="1:23" x14ac:dyDescent="0.3">
      <c r="O4" s="251" t="s">
        <v>35</v>
      </c>
    </row>
    <row r="5" spans="1:23" s="258" customFormat="1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3">
      <c r="A6" s="241" t="s">
        <v>0</v>
      </c>
      <c r="B6" s="373">
        <v>2015</v>
      </c>
      <c r="C6" s="373"/>
      <c r="D6" s="373"/>
      <c r="E6" s="373"/>
      <c r="F6" s="246"/>
      <c r="G6" s="373">
        <v>2020</v>
      </c>
      <c r="H6" s="373"/>
      <c r="I6" s="373"/>
      <c r="J6" s="373"/>
      <c r="K6" s="278"/>
      <c r="L6" s="373">
        <v>2035</v>
      </c>
      <c r="M6" s="373"/>
      <c r="N6" s="373"/>
      <c r="O6" s="373"/>
      <c r="S6" s="279"/>
      <c r="T6" s="279"/>
      <c r="U6" s="279"/>
      <c r="V6" s="279"/>
      <c r="W6" s="279"/>
    </row>
    <row r="7" spans="1:23" s="258" customFormat="1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3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3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2033.1336136421733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284.27968046921274</v>
      </c>
      <c r="D9" s="249">
        <f t="shared" si="0"/>
        <v>505.54167250934256</v>
      </c>
      <c r="E9" s="249">
        <f>SUM(B9:D9)</f>
        <v>2822.9549666207286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2300.8303483965269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435.45050464047972</v>
      </c>
      <c r="I9" s="249">
        <f t="shared" si="1"/>
        <v>561.68221196556453</v>
      </c>
      <c r="J9" s="249">
        <f>SUM(G9:I9)</f>
        <v>3297.9630650025711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2587.7995848095043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557.28581249316778</v>
      </c>
      <c r="N9" s="249">
        <f t="shared" si="2"/>
        <v>652.07630847698817</v>
      </c>
      <c r="O9" s="249">
        <f>SUM(L9:N9)</f>
        <v>3797.1617057796602</v>
      </c>
      <c r="T9" s="249"/>
      <c r="V9" s="249"/>
    </row>
    <row r="10" spans="1:23" s="236" customFormat="1" x14ac:dyDescent="0.3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4123.1584970347049</v>
      </c>
      <c r="C10" s="249">
        <f t="shared" si="3"/>
        <v>1074.9351653229648</v>
      </c>
      <c r="D10" s="249">
        <f t="shared" si="3"/>
        <v>715.15011968548538</v>
      </c>
      <c r="E10" s="249">
        <f t="shared" ref="E10:E17" si="4">SUM(B10:D10)</f>
        <v>5913.2437820431551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4954.5374052101015</v>
      </c>
      <c r="H10" s="249">
        <f t="shared" si="5"/>
        <v>1333.7950024711886</v>
      </c>
      <c r="I10" s="249">
        <f t="shared" si="5"/>
        <v>754.57563909506189</v>
      </c>
      <c r="J10" s="249">
        <f t="shared" ref="J10:J17" si="6">SUM(G10:I10)</f>
        <v>7042.9080467763515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5999.6051490367872</v>
      </c>
      <c r="M10" s="249">
        <f t="shared" si="7"/>
        <v>1658.4244226828264</v>
      </c>
      <c r="N10" s="249">
        <f t="shared" si="7"/>
        <v>754.65429771438221</v>
      </c>
      <c r="O10" s="249">
        <f t="shared" ref="O10:O17" si="8">SUM(L10:N10)</f>
        <v>8412.6838694339949</v>
      </c>
      <c r="T10" s="249"/>
      <c r="V10" s="249"/>
    </row>
    <row r="11" spans="1:23" s="236" customFormat="1" x14ac:dyDescent="0.3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2434.596295874805</v>
      </c>
      <c r="C11" s="249">
        <f t="shared" si="9"/>
        <v>667.45717460780054</v>
      </c>
      <c r="D11" s="249">
        <f t="shared" si="9"/>
        <v>571.02539290509117</v>
      </c>
      <c r="E11" s="249">
        <f t="shared" si="4"/>
        <v>3673.0788633876964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2791.0094673419367</v>
      </c>
      <c r="H11" s="249">
        <f t="shared" si="10"/>
        <v>788.23090506797382</v>
      </c>
      <c r="I11" s="249">
        <f t="shared" si="10"/>
        <v>573.08524524246479</v>
      </c>
      <c r="J11" s="249">
        <f t="shared" si="6"/>
        <v>4152.3256176523755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2933.5585048436797</v>
      </c>
      <c r="M11" s="249">
        <f t="shared" si="11"/>
        <v>853.35595556757141</v>
      </c>
      <c r="N11" s="249">
        <f t="shared" si="11"/>
        <v>606.96671875505683</v>
      </c>
      <c r="O11" s="249">
        <f t="shared" si="8"/>
        <v>4393.8811791663084</v>
      </c>
      <c r="T11" s="249"/>
      <c r="V11" s="249"/>
    </row>
    <row r="12" spans="1:23" s="236" customFormat="1" x14ac:dyDescent="0.3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1782.1006477024639</v>
      </c>
      <c r="C12" s="249">
        <f t="shared" si="12"/>
        <v>1227.7272050259826</v>
      </c>
      <c r="D12" s="249">
        <f t="shared" si="12"/>
        <v>139.66590791834133</v>
      </c>
      <c r="E12" s="249">
        <f t="shared" si="4"/>
        <v>3149.4937606467879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1787.2328365424078</v>
      </c>
      <c r="H12" s="249">
        <f t="shared" si="13"/>
        <v>1229.2321901312439</v>
      </c>
      <c r="I12" s="249">
        <f t="shared" si="13"/>
        <v>130.56531100122686</v>
      </c>
      <c r="J12" s="249">
        <f t="shared" si="6"/>
        <v>3147.0303376748784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1535.8889513203017</v>
      </c>
      <c r="M12" s="249">
        <f t="shared" si="14"/>
        <v>1051.4296174351159</v>
      </c>
      <c r="N12" s="249">
        <f t="shared" si="14"/>
        <v>132.80348732797847</v>
      </c>
      <c r="O12" s="249">
        <f t="shared" si="8"/>
        <v>2720.1220560833963</v>
      </c>
      <c r="T12" s="249"/>
      <c r="V12" s="249"/>
    </row>
    <row r="13" spans="1:23" s="236" customFormat="1" x14ac:dyDescent="0.3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1686.4039679980376</v>
      </c>
      <c r="C13" s="249">
        <f t="shared" si="15"/>
        <v>270.45964396681126</v>
      </c>
      <c r="D13" s="249">
        <f t="shared" si="15"/>
        <v>932.82734433889368</v>
      </c>
      <c r="E13" s="249">
        <f t="shared" si="4"/>
        <v>2889.6909563037425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1438.777917477609</v>
      </c>
      <c r="H13" s="249">
        <f t="shared" si="16"/>
        <v>236.97467016399568</v>
      </c>
      <c r="I13" s="249">
        <f t="shared" si="16"/>
        <v>834.52565995375994</v>
      </c>
      <c r="J13" s="249">
        <f t="shared" si="6"/>
        <v>2510.2782475953645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1283.1502807797726</v>
      </c>
      <c r="M13" s="249">
        <f t="shared" si="17"/>
        <v>278.97314455785204</v>
      </c>
      <c r="N13" s="249">
        <f t="shared" si="17"/>
        <v>932.01480121236614</v>
      </c>
      <c r="O13" s="249">
        <f t="shared" si="8"/>
        <v>2494.1382265499906</v>
      </c>
      <c r="T13" s="249"/>
      <c r="V13" s="249"/>
    </row>
    <row r="14" spans="1:23" s="236" customFormat="1" x14ac:dyDescent="0.3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1258.4272347785193</v>
      </c>
      <c r="C14" s="249">
        <f t="shared" si="18"/>
        <v>1161.022435398261</v>
      </c>
      <c r="D14" s="249">
        <f t="shared" si="18"/>
        <v>267.02727518948564</v>
      </c>
      <c r="E14" s="249">
        <f t="shared" si="4"/>
        <v>2686.4769453662657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1233.5975431043887</v>
      </c>
      <c r="H14" s="249">
        <f t="shared" si="19"/>
        <v>1147.0048321430752</v>
      </c>
      <c r="I14" s="249">
        <f t="shared" si="19"/>
        <v>302.59150520592596</v>
      </c>
      <c r="J14" s="249">
        <f t="shared" si="6"/>
        <v>2683.1938804533897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1494.9663844517554</v>
      </c>
      <c r="M14" s="249">
        <f t="shared" si="20"/>
        <v>1247.6373360684909</v>
      </c>
      <c r="N14" s="249">
        <f t="shared" si="20"/>
        <v>361.51743220837761</v>
      </c>
      <c r="O14" s="249">
        <f t="shared" si="8"/>
        <v>3104.1211527286241</v>
      </c>
      <c r="T14" s="249"/>
      <c r="V14" s="249"/>
    </row>
    <row r="15" spans="1:23" s="236" customFormat="1" x14ac:dyDescent="0.3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905.4239826372177</v>
      </c>
      <c r="C15" s="249">
        <f t="shared" si="21"/>
        <v>1380.2188956005593</v>
      </c>
      <c r="D15" s="249">
        <f t="shared" si="21"/>
        <v>166.07178003324972</v>
      </c>
      <c r="E15" s="249">
        <f t="shared" si="4"/>
        <v>2451.7146582710266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861.7522611167858</v>
      </c>
      <c r="H15" s="249">
        <f t="shared" si="22"/>
        <v>1382.8151497796089</v>
      </c>
      <c r="I15" s="249">
        <f t="shared" si="22"/>
        <v>117.76587073844956</v>
      </c>
      <c r="J15" s="249">
        <f t="shared" si="6"/>
        <v>2362.3332816348443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880.69347216444828</v>
      </c>
      <c r="M15" s="249">
        <f t="shared" si="23"/>
        <v>1405.2813769815994</v>
      </c>
      <c r="N15" s="249">
        <f t="shared" si="23"/>
        <v>102.8204376524115</v>
      </c>
      <c r="O15" s="249">
        <f t="shared" si="8"/>
        <v>2388.7952867984591</v>
      </c>
      <c r="T15" s="249"/>
      <c r="V15" s="249"/>
    </row>
    <row r="16" spans="1:23" s="236" customFormat="1" x14ac:dyDescent="0.3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1258.8497473739837</v>
      </c>
      <c r="C16" s="249">
        <f t="shared" si="24"/>
        <v>232.12683497411226</v>
      </c>
      <c r="D16" s="249">
        <f t="shared" si="24"/>
        <v>276.34912201602521</v>
      </c>
      <c r="E16" s="249">
        <f t="shared" si="4"/>
        <v>1767.3257043641211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1092.7764481325823</v>
      </c>
      <c r="H16" s="249">
        <f t="shared" si="25"/>
        <v>274.42855384216585</v>
      </c>
      <c r="I16" s="249">
        <f t="shared" si="25"/>
        <v>294.93254231975249</v>
      </c>
      <c r="J16" s="249">
        <f t="shared" si="6"/>
        <v>1662.1375442945007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1117.5190885291934</v>
      </c>
      <c r="M16" s="249">
        <f t="shared" si="26"/>
        <v>367.46444124208625</v>
      </c>
      <c r="N16" s="249">
        <f t="shared" si="26"/>
        <v>367.10374068114345</v>
      </c>
      <c r="O16" s="249">
        <f t="shared" si="8"/>
        <v>1852.0872704524231</v>
      </c>
      <c r="T16" s="249"/>
      <c r="V16" s="249"/>
    </row>
    <row r="17" spans="1:15" s="236" customFormat="1" x14ac:dyDescent="0.3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1386.9090129201275</v>
      </c>
      <c r="C17" s="249">
        <f t="shared" si="27"/>
        <v>1691.0079646697457</v>
      </c>
      <c r="D17" s="249">
        <f t="shared" si="27"/>
        <v>224.27538540436643</v>
      </c>
      <c r="E17" s="249">
        <f t="shared" si="4"/>
        <v>3302.1923629942394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1202.7157726646205</v>
      </c>
      <c r="H17" s="249">
        <f t="shared" si="28"/>
        <v>1605.813191769116</v>
      </c>
      <c r="I17" s="249">
        <f t="shared" si="28"/>
        <v>192.98201447701183</v>
      </c>
      <c r="J17" s="249">
        <f t="shared" si="6"/>
        <v>3001.5109789107482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1181.8815840739851</v>
      </c>
      <c r="M17" s="249">
        <f t="shared" si="29"/>
        <v>1465.0368929514709</v>
      </c>
      <c r="N17" s="249">
        <f t="shared" si="29"/>
        <v>260.18177598059066</v>
      </c>
      <c r="O17" s="249">
        <f t="shared" si="8"/>
        <v>2907.1002530060468</v>
      </c>
    </row>
    <row r="18" spans="1:15" s="236" customFormat="1" x14ac:dyDescent="0.3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3">
      <c r="A19" s="244" t="s">
        <v>32</v>
      </c>
      <c r="B19" s="247">
        <f>SUM(B9:B17)</f>
        <v>16869.002999962035</v>
      </c>
      <c r="C19" s="247">
        <f t="shared" ref="C19:O19" si="30">SUM(C9:C17)</f>
        <v>7989.23500003545</v>
      </c>
      <c r="D19" s="247">
        <f t="shared" si="30"/>
        <v>3797.9340000002812</v>
      </c>
      <c r="E19" s="247">
        <f t="shared" si="30"/>
        <v>28656.171999997765</v>
      </c>
      <c r="F19" s="247"/>
      <c r="G19" s="247">
        <f t="shared" si="30"/>
        <v>17663.229999986961</v>
      </c>
      <c r="H19" s="247">
        <f t="shared" si="30"/>
        <v>8433.7450000088465</v>
      </c>
      <c r="I19" s="247">
        <f t="shared" si="30"/>
        <v>3762.7059999992171</v>
      </c>
      <c r="J19" s="247">
        <f t="shared" si="30"/>
        <v>29859.680999995024</v>
      </c>
      <c r="K19" s="247"/>
      <c r="L19" s="247">
        <f t="shared" si="30"/>
        <v>19015.063000009424</v>
      </c>
      <c r="M19" s="247">
        <f t="shared" si="30"/>
        <v>8884.8889999801813</v>
      </c>
      <c r="N19" s="247">
        <f t="shared" si="30"/>
        <v>4170.1390000092952</v>
      </c>
      <c r="O19" s="247">
        <f t="shared" si="30"/>
        <v>32070.090999998905</v>
      </c>
    </row>
    <row r="20" spans="1:15" s="236" customFormat="1" x14ac:dyDescent="0.3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3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3">
      <c r="A23" s="241" t="str">
        <f>name!A4</f>
        <v>Agriculture, etc</v>
      </c>
      <c r="B23" s="375">
        <f>$B$6</f>
        <v>2015</v>
      </c>
      <c r="C23" s="375"/>
      <c r="D23" s="375"/>
      <c r="E23" s="375"/>
      <c r="F23" s="263"/>
      <c r="G23" s="375">
        <f>$G$6</f>
        <v>2020</v>
      </c>
      <c r="H23" s="375"/>
      <c r="I23" s="375"/>
      <c r="J23" s="375"/>
      <c r="K23" s="263"/>
      <c r="L23" s="375">
        <f>$L$6</f>
        <v>2035</v>
      </c>
      <c r="M23" s="375"/>
      <c r="N23" s="375"/>
      <c r="O23" s="375"/>
    </row>
    <row r="24" spans="1:15" s="236" customFormat="1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3">
      <c r="A26" s="237" t="str">
        <f>name!E$4</f>
        <v>Managers, directors and senior officials</v>
      </c>
      <c r="B26" s="302">
        <v>10.87084884357084</v>
      </c>
      <c r="C26" s="302">
        <v>1.8224946320149307</v>
      </c>
      <c r="D26" s="302">
        <v>2.5607095049562631</v>
      </c>
      <c r="E26" s="302">
        <f>SUM(B26:D26)</f>
        <v>15.254052980542033</v>
      </c>
      <c r="F26" s="303"/>
      <c r="G26" s="302">
        <v>13.306164550208592</v>
      </c>
      <c r="H26" s="302">
        <v>2.5398039179558691</v>
      </c>
      <c r="I26" s="302">
        <v>2.4215663664307141</v>
      </c>
      <c r="J26" s="302">
        <f>SUM(G26:I26)</f>
        <v>18.267534834595175</v>
      </c>
      <c r="K26" s="303"/>
      <c r="L26" s="302">
        <v>19.311920173899228</v>
      </c>
      <c r="M26" s="302">
        <v>2.6308000689270994</v>
      </c>
      <c r="N26" s="302">
        <v>2.5859192126773589</v>
      </c>
      <c r="O26" s="302">
        <f>SUM(L26:N26)</f>
        <v>24.528639455503686</v>
      </c>
    </row>
    <row r="27" spans="1:15" s="236" customFormat="1" x14ac:dyDescent="0.3">
      <c r="A27" s="237" t="str">
        <f>name!E$5</f>
        <v>Professional occupations</v>
      </c>
      <c r="B27" s="302">
        <v>9.9183086349412726</v>
      </c>
      <c r="C27" s="302">
        <v>1.6371635472059065</v>
      </c>
      <c r="D27" s="302">
        <v>1.2353607530206787</v>
      </c>
      <c r="E27" s="302">
        <f t="shared" ref="E27:E34" si="31">SUM(B27:D27)</f>
        <v>12.790832935167858</v>
      </c>
      <c r="F27" s="303"/>
      <c r="G27" s="302">
        <v>14.009472450039869</v>
      </c>
      <c r="H27" s="302">
        <v>2.7807637943850976</v>
      </c>
      <c r="I27" s="302">
        <v>1.6274840239868054</v>
      </c>
      <c r="J27" s="302">
        <f t="shared" ref="J27:J34" si="32">SUM(G27:I27)</f>
        <v>18.417720268411774</v>
      </c>
      <c r="K27" s="303"/>
      <c r="L27" s="302">
        <v>21.305469203346231</v>
      </c>
      <c r="M27" s="302">
        <v>3.5648704881232747</v>
      </c>
      <c r="N27" s="302">
        <v>1.7316086162888418</v>
      </c>
      <c r="O27" s="302">
        <f t="shared" ref="O27:O34" si="33">SUM(L27:N27)</f>
        <v>26.601948307758349</v>
      </c>
    </row>
    <row r="28" spans="1:15" s="236" customFormat="1" x14ac:dyDescent="0.3">
      <c r="A28" s="237" t="str">
        <f>name!E$6</f>
        <v>Associate professional occupations</v>
      </c>
      <c r="B28" s="302">
        <v>6.6687825441064597</v>
      </c>
      <c r="C28" s="302">
        <v>1.508068044122072</v>
      </c>
      <c r="D28" s="302">
        <v>0.71717091711221614</v>
      </c>
      <c r="E28" s="302">
        <f t="shared" si="31"/>
        <v>8.8940215053407492</v>
      </c>
      <c r="F28" s="303"/>
      <c r="G28" s="302">
        <v>8.2505968250535346</v>
      </c>
      <c r="H28" s="302">
        <v>2.212403454953451</v>
      </c>
      <c r="I28" s="302">
        <v>1.0131305483812647</v>
      </c>
      <c r="J28" s="302">
        <f t="shared" si="32"/>
        <v>11.47613082838825</v>
      </c>
      <c r="K28" s="303"/>
      <c r="L28" s="302">
        <v>9.7063515327193812</v>
      </c>
      <c r="M28" s="302">
        <v>2.1571781802886458</v>
      </c>
      <c r="N28" s="302">
        <v>1.2430779147950204</v>
      </c>
      <c r="O28" s="302">
        <f t="shared" si="33"/>
        <v>13.106607627803047</v>
      </c>
    </row>
    <row r="29" spans="1:15" s="236" customFormat="1" x14ac:dyDescent="0.3">
      <c r="A29" s="237" t="str">
        <f>name!E$7</f>
        <v>Administrative and secretarial occupations</v>
      </c>
      <c r="B29" s="302">
        <v>6.836122511262321</v>
      </c>
      <c r="C29" s="302">
        <v>6.3316356788884969</v>
      </c>
      <c r="D29" s="302">
        <v>0.72963845041806064</v>
      </c>
      <c r="E29" s="302">
        <f t="shared" si="31"/>
        <v>13.897396640568878</v>
      </c>
      <c r="F29" s="303"/>
      <c r="G29" s="302">
        <v>7.094155017917501</v>
      </c>
      <c r="H29" s="302">
        <v>5.8594403173713063</v>
      </c>
      <c r="I29" s="302">
        <v>1.0084953557285912</v>
      </c>
      <c r="J29" s="302">
        <f t="shared" si="32"/>
        <v>13.962090691017398</v>
      </c>
      <c r="K29" s="303"/>
      <c r="L29" s="302">
        <v>5.2785465852638511</v>
      </c>
      <c r="M29" s="302">
        <v>4.4668937799444883</v>
      </c>
      <c r="N29" s="302">
        <v>0.63041830401592891</v>
      </c>
      <c r="O29" s="302">
        <f t="shared" si="33"/>
        <v>10.375858669224268</v>
      </c>
    </row>
    <row r="30" spans="1:15" s="236" customFormat="1" x14ac:dyDescent="0.3">
      <c r="A30" s="237" t="str">
        <f>name!E$8</f>
        <v>Skilled trades occupations</v>
      </c>
      <c r="B30" s="302">
        <v>48.645480158056159</v>
      </c>
      <c r="C30" s="302">
        <v>8.9121659794682841</v>
      </c>
      <c r="D30" s="302">
        <v>81.9253218424914</v>
      </c>
      <c r="E30" s="302">
        <f t="shared" si="31"/>
        <v>139.48296798001584</v>
      </c>
      <c r="F30" s="303"/>
      <c r="G30" s="302">
        <v>47.148270002430905</v>
      </c>
      <c r="H30" s="302">
        <v>4.3147677572381253</v>
      </c>
      <c r="I30" s="302">
        <v>67.140497341431754</v>
      </c>
      <c r="J30" s="302">
        <f>SUM(G30:I30)</f>
        <v>118.60353510110079</v>
      </c>
      <c r="K30" s="303"/>
      <c r="L30" s="302">
        <v>51.113971326615122</v>
      </c>
      <c r="M30" s="302">
        <v>5.891808665759692</v>
      </c>
      <c r="N30" s="302">
        <v>57.943465424045051</v>
      </c>
      <c r="O30" s="302">
        <f t="shared" si="33"/>
        <v>114.94924541641987</v>
      </c>
    </row>
    <row r="31" spans="1:15" s="236" customFormat="1" x14ac:dyDescent="0.3">
      <c r="A31" s="237" t="str">
        <f>name!E$9</f>
        <v>Caring, leisure and other service occupations</v>
      </c>
      <c r="B31" s="302">
        <v>6.2610503357826879</v>
      </c>
      <c r="C31" s="302">
        <v>2.5427673212918842</v>
      </c>
      <c r="D31" s="302">
        <v>1.8421110744249181</v>
      </c>
      <c r="E31" s="302">
        <f t="shared" si="31"/>
        <v>10.64592873149949</v>
      </c>
      <c r="F31" s="303"/>
      <c r="G31" s="302">
        <v>5.8201710312760184</v>
      </c>
      <c r="H31" s="302">
        <v>1.7952293005515418</v>
      </c>
      <c r="I31" s="302">
        <v>3.1035369714708003</v>
      </c>
      <c r="J31" s="302">
        <f t="shared" si="32"/>
        <v>10.718937303298361</v>
      </c>
      <c r="K31" s="303"/>
      <c r="L31" s="302">
        <v>6.21120820329135</v>
      </c>
      <c r="M31" s="302">
        <v>1.1762739080883811</v>
      </c>
      <c r="N31" s="302">
        <v>3.6004160580391482</v>
      </c>
      <c r="O31" s="302">
        <f t="shared" si="33"/>
        <v>10.987898169418878</v>
      </c>
    </row>
    <row r="32" spans="1:15" s="236" customFormat="1" x14ac:dyDescent="0.3">
      <c r="A32" s="237" t="str">
        <f>name!E$10</f>
        <v>Sales and customer service occupations</v>
      </c>
      <c r="B32" s="302">
        <v>2.9267113940460301</v>
      </c>
      <c r="C32" s="302">
        <v>1.7465549466917953</v>
      </c>
      <c r="D32" s="302">
        <v>0.89931519723024</v>
      </c>
      <c r="E32" s="302">
        <f t="shared" si="31"/>
        <v>5.5725815379680652</v>
      </c>
      <c r="F32" s="303"/>
      <c r="G32" s="302">
        <v>3.1076494887416328</v>
      </c>
      <c r="H32" s="302">
        <v>1.6042990331977471</v>
      </c>
      <c r="I32" s="302">
        <v>0.72665034164055364</v>
      </c>
      <c r="J32" s="302">
        <f t="shared" si="32"/>
        <v>5.4385988635799336</v>
      </c>
      <c r="K32" s="303"/>
      <c r="L32" s="302">
        <v>3.4514071479317496</v>
      </c>
      <c r="M32" s="302">
        <v>1.566021642135462</v>
      </c>
      <c r="N32" s="302">
        <v>0.57052499555581471</v>
      </c>
      <c r="O32" s="302">
        <f t="shared" si="33"/>
        <v>5.5879537856230259</v>
      </c>
    </row>
    <row r="33" spans="1:15" s="236" customFormat="1" x14ac:dyDescent="0.3">
      <c r="A33" s="237" t="str">
        <f>name!E$11</f>
        <v>Process, plant and machine operatives</v>
      </c>
      <c r="B33" s="302">
        <v>9.8763653798169369</v>
      </c>
      <c r="C33" s="302">
        <v>1.7149499198711546</v>
      </c>
      <c r="D33" s="302">
        <v>1.1446435685226579</v>
      </c>
      <c r="E33" s="302">
        <f t="shared" si="31"/>
        <v>12.73595886821075</v>
      </c>
      <c r="F33" s="303"/>
      <c r="G33" s="302">
        <v>7.2797553416211525</v>
      </c>
      <c r="H33" s="302">
        <v>1.0468104156453015</v>
      </c>
      <c r="I33" s="302">
        <v>1.7831531188289804</v>
      </c>
      <c r="J33" s="302">
        <f t="shared" si="32"/>
        <v>10.109718876095435</v>
      </c>
      <c r="K33" s="303"/>
      <c r="L33" s="302">
        <v>6.941403008011628</v>
      </c>
      <c r="M33" s="302">
        <v>1.5247836840708913</v>
      </c>
      <c r="N33" s="302">
        <v>3.4688864664726253</v>
      </c>
      <c r="O33" s="302">
        <f t="shared" si="33"/>
        <v>11.935073158555145</v>
      </c>
    </row>
    <row r="34" spans="1:15" s="236" customFormat="1" x14ac:dyDescent="0.3">
      <c r="A34" s="237" t="str">
        <f>name!E$12</f>
        <v>Elementary occupations</v>
      </c>
      <c r="B34" s="302">
        <v>24.798330198337709</v>
      </c>
      <c r="C34" s="302">
        <v>7.1861999306784341</v>
      </c>
      <c r="D34" s="302">
        <v>11.405728692547392</v>
      </c>
      <c r="E34" s="302">
        <f t="shared" si="31"/>
        <v>43.390258821563535</v>
      </c>
      <c r="F34" s="303"/>
      <c r="G34" s="302">
        <v>16.575765292830003</v>
      </c>
      <c r="H34" s="302">
        <v>4.2714820088832361</v>
      </c>
      <c r="I34" s="302">
        <v>11.852485930554195</v>
      </c>
      <c r="J34" s="302">
        <f t="shared" si="32"/>
        <v>32.699733232267434</v>
      </c>
      <c r="K34" s="303"/>
      <c r="L34" s="302">
        <v>11.826722819522223</v>
      </c>
      <c r="M34" s="302">
        <v>2.4713695825875219</v>
      </c>
      <c r="N34" s="302">
        <v>16.777683005674611</v>
      </c>
      <c r="O34" s="302">
        <f t="shared" si="33"/>
        <v>31.075775407784356</v>
      </c>
    </row>
    <row r="35" spans="1:15" s="236" customFormat="1" x14ac:dyDescent="0.3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3">
      <c r="A36" s="244" t="s">
        <v>32</v>
      </c>
      <c r="B36" s="311">
        <f>SUM(B26:B34)</f>
        <v>126.8019999999204</v>
      </c>
      <c r="C36" s="311">
        <f t="shared" ref="C36:O36" si="34">SUM(C26:C34)</f>
        <v>33.40200000023296</v>
      </c>
      <c r="D36" s="311">
        <f t="shared" si="34"/>
        <v>102.46000000072382</v>
      </c>
      <c r="E36" s="311">
        <f t="shared" si="34"/>
        <v>262.66400000087719</v>
      </c>
      <c r="F36" s="311"/>
      <c r="G36" s="311">
        <f t="shared" si="34"/>
        <v>122.5920000001192</v>
      </c>
      <c r="H36" s="311">
        <f t="shared" si="34"/>
        <v>26.425000000181676</v>
      </c>
      <c r="I36" s="311">
        <f t="shared" si="34"/>
        <v>90.676999998453653</v>
      </c>
      <c r="J36" s="311">
        <f t="shared" si="34"/>
        <v>239.69399999875452</v>
      </c>
      <c r="K36" s="311"/>
      <c r="L36" s="311">
        <f t="shared" si="34"/>
        <v>135.14700000060077</v>
      </c>
      <c r="M36" s="311">
        <f t="shared" si="34"/>
        <v>25.449999999925449</v>
      </c>
      <c r="N36" s="311">
        <f t="shared" si="34"/>
        <v>88.551999997564394</v>
      </c>
      <c r="O36" s="311">
        <f t="shared" si="34"/>
        <v>249.14899999809066</v>
      </c>
    </row>
    <row r="37" spans="1:15" s="236" customFormat="1" x14ac:dyDescent="0.3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3">
      <c r="A40" s="241" t="str">
        <f>name!A5</f>
        <v>Coal, oil &amp; gas; Mining &amp; related</v>
      </c>
      <c r="B40" s="375">
        <f>$B$6</f>
        <v>2015</v>
      </c>
      <c r="C40" s="375"/>
      <c r="D40" s="375"/>
      <c r="E40" s="375"/>
      <c r="F40" s="263"/>
      <c r="G40" s="375">
        <f>$G$6</f>
        <v>2020</v>
      </c>
      <c r="H40" s="375"/>
      <c r="I40" s="375"/>
      <c r="J40" s="375"/>
      <c r="K40" s="263"/>
      <c r="L40" s="375">
        <f>$L$6</f>
        <v>2035</v>
      </c>
      <c r="M40" s="375"/>
      <c r="N40" s="375"/>
      <c r="O40" s="375"/>
    </row>
    <row r="41" spans="1:15" s="236" customFormat="1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3">
      <c r="A43" s="237" t="str">
        <f>name!E$4</f>
        <v>Managers, directors and senior officials</v>
      </c>
      <c r="B43" s="302">
        <v>2.83324381503287</v>
      </c>
      <c r="C43" s="302">
        <v>5.5769144878552668E-2</v>
      </c>
      <c r="D43" s="302">
        <v>0.77003594141203469</v>
      </c>
      <c r="E43" s="302">
        <f>SUM(B43:D43)</f>
        <v>3.6590489013234571</v>
      </c>
      <c r="F43" s="303"/>
      <c r="G43" s="302">
        <v>3.0135382065068366</v>
      </c>
      <c r="H43" s="302">
        <v>0.15567224616371883</v>
      </c>
      <c r="I43" s="302">
        <v>0.47384769221035461</v>
      </c>
      <c r="J43" s="302">
        <f>SUM(G43:I43)</f>
        <v>3.6430581448809098</v>
      </c>
      <c r="K43" s="303"/>
      <c r="L43" s="302">
        <v>1.9995311764812584</v>
      </c>
      <c r="M43" s="302">
        <v>0.12249854945760727</v>
      </c>
      <c r="N43" s="302">
        <v>0.36478600918302195</v>
      </c>
      <c r="O43" s="302">
        <f>SUM(L43:N43)</f>
        <v>2.4868157351218878</v>
      </c>
    </row>
    <row r="44" spans="1:15" s="236" customFormat="1" x14ac:dyDescent="0.3">
      <c r="A44" s="237" t="str">
        <f>name!E$5</f>
        <v>Professional occupations</v>
      </c>
      <c r="B44" s="302">
        <v>3.8172427406088656</v>
      </c>
      <c r="C44" s="302">
        <v>0.15245232095694047</v>
      </c>
      <c r="D44" s="302">
        <v>0.51877013046834708</v>
      </c>
      <c r="E44" s="302">
        <f t="shared" ref="E44:E51" si="35">SUM(B44:D44)</f>
        <v>4.4884651920341527</v>
      </c>
      <c r="F44" s="303"/>
      <c r="G44" s="302">
        <v>4.3592756908892074</v>
      </c>
      <c r="H44" s="302">
        <v>0.19269934144885212</v>
      </c>
      <c r="I44" s="302">
        <v>0.20404950728530086</v>
      </c>
      <c r="J44" s="302">
        <f t="shared" ref="J44:J46" si="36">SUM(G44:I44)</f>
        <v>4.7560245396233611</v>
      </c>
      <c r="K44" s="303"/>
      <c r="L44" s="302">
        <v>3.0176313637411045</v>
      </c>
      <c r="M44" s="302">
        <v>0.13194268455057087</v>
      </c>
      <c r="N44" s="302">
        <v>4.4014513473552966E-2</v>
      </c>
      <c r="O44" s="302">
        <f t="shared" ref="O44:O51" si="37">SUM(L44:N44)</f>
        <v>3.1935885617652282</v>
      </c>
    </row>
    <row r="45" spans="1:15" s="236" customFormat="1" x14ac:dyDescent="0.3">
      <c r="A45" s="237" t="str">
        <f>name!E$6</f>
        <v>Associate professional occupations</v>
      </c>
      <c r="B45" s="302">
        <v>2.860881252428666</v>
      </c>
      <c r="C45" s="302">
        <v>9.7438230133915102E-2</v>
      </c>
      <c r="D45" s="302">
        <v>0.3696501600692525</v>
      </c>
      <c r="E45" s="302">
        <f t="shared" si="35"/>
        <v>3.3279696426318335</v>
      </c>
      <c r="F45" s="303"/>
      <c r="G45" s="302">
        <v>3.1885976106139986</v>
      </c>
      <c r="H45" s="302">
        <v>0.11790896090318498</v>
      </c>
      <c r="I45" s="302">
        <v>0.10091950247379869</v>
      </c>
      <c r="J45" s="302">
        <f t="shared" si="36"/>
        <v>3.4074260739909823</v>
      </c>
      <c r="K45" s="303"/>
      <c r="L45" s="302">
        <v>1.8602934933058761</v>
      </c>
      <c r="M45" s="302">
        <v>7.1901982833959127E-2</v>
      </c>
      <c r="N45" s="302">
        <v>2.8260239873630588E-2</v>
      </c>
      <c r="O45" s="302">
        <f t="shared" si="37"/>
        <v>1.9604557160134659</v>
      </c>
    </row>
    <row r="46" spans="1:15" s="236" customFormat="1" x14ac:dyDescent="0.3">
      <c r="A46" s="237" t="str">
        <f>name!E$7</f>
        <v>Administrative and secretarial occupations</v>
      </c>
      <c r="B46" s="302">
        <v>1.4838420632842695</v>
      </c>
      <c r="C46" s="302">
        <v>0.17140664467302935</v>
      </c>
      <c r="D46" s="302">
        <v>0.41349364544612927</v>
      </c>
      <c r="E46" s="302">
        <f t="shared" si="35"/>
        <v>2.0687423534034282</v>
      </c>
      <c r="F46" s="303"/>
      <c r="G46" s="302">
        <v>1.4539666744944695</v>
      </c>
      <c r="H46" s="302">
        <v>0.2822816510345092</v>
      </c>
      <c r="I46" s="302">
        <v>5.1069244948205444E-2</v>
      </c>
      <c r="J46" s="302">
        <f t="shared" si="36"/>
        <v>1.7873175704771842</v>
      </c>
      <c r="K46" s="303"/>
      <c r="L46" s="302">
        <v>0.736308020665014</v>
      </c>
      <c r="M46" s="302">
        <v>0.16973232319227871</v>
      </c>
      <c r="N46" s="302">
        <v>4.5051562860306822E-2</v>
      </c>
      <c r="O46" s="302">
        <f t="shared" si="37"/>
        <v>0.95109190671759958</v>
      </c>
    </row>
    <row r="47" spans="1:15" s="236" customFormat="1" x14ac:dyDescent="0.3">
      <c r="A47" s="237" t="str">
        <f>name!E$8</f>
        <v>Skilled trades occupations</v>
      </c>
      <c r="B47" s="302">
        <v>5.2207135439182997</v>
      </c>
      <c r="C47" s="302">
        <v>0.11647116303627471</v>
      </c>
      <c r="D47" s="302">
        <v>1.1747062498887926</v>
      </c>
      <c r="E47" s="302">
        <f t="shared" si="35"/>
        <v>6.5118909568433674</v>
      </c>
      <c r="F47" s="303"/>
      <c r="G47" s="302">
        <v>3.9119090545380866</v>
      </c>
      <c r="H47" s="302">
        <v>6.0811109617540555E-2</v>
      </c>
      <c r="I47" s="302">
        <v>0.34994751942723828</v>
      </c>
      <c r="J47" s="302">
        <f>SUM(G47:I47)</f>
        <v>4.322667683582865</v>
      </c>
      <c r="K47" s="303"/>
      <c r="L47" s="302">
        <v>1.8917866115761786</v>
      </c>
      <c r="M47" s="302">
        <v>5.2751780428516824E-2</v>
      </c>
      <c r="N47" s="302">
        <v>0.13456592581756302</v>
      </c>
      <c r="O47" s="302">
        <f t="shared" si="37"/>
        <v>2.0791043178222584</v>
      </c>
    </row>
    <row r="48" spans="1:15" s="236" customFormat="1" x14ac:dyDescent="0.3">
      <c r="A48" s="237" t="str">
        <f>name!E$9</f>
        <v>Caring, leisure and other service occupations</v>
      </c>
      <c r="B48" s="302">
        <v>0.38316882140626934</v>
      </c>
      <c r="C48" s="302">
        <v>0.24533670021093193</v>
      </c>
      <c r="D48" s="302">
        <v>7.3692425839659126E-2</v>
      </c>
      <c r="E48" s="302">
        <f t="shared" si="35"/>
        <v>0.70219794745686048</v>
      </c>
      <c r="F48" s="303"/>
      <c r="G48" s="302">
        <v>0.38436345091439994</v>
      </c>
      <c r="H48" s="302">
        <v>0.20365344683883826</v>
      </c>
      <c r="I48" s="302">
        <v>1.5279797034014017E-2</v>
      </c>
      <c r="J48" s="302">
        <f t="shared" ref="J48:J51" si="38">SUM(G48:I48)</f>
        <v>0.60329669478725223</v>
      </c>
      <c r="K48" s="303"/>
      <c r="L48" s="302">
        <v>0.24275293313240792</v>
      </c>
      <c r="M48" s="302">
        <v>0.15407280447655711</v>
      </c>
      <c r="N48" s="302">
        <v>1.6225309198599023E-2</v>
      </c>
      <c r="O48" s="302">
        <f t="shared" si="37"/>
        <v>0.41305104680756405</v>
      </c>
    </row>
    <row r="49" spans="1:15" s="236" customFormat="1" x14ac:dyDescent="0.3">
      <c r="A49" s="237" t="str">
        <f>name!E$10</f>
        <v>Sales and customer service occupations</v>
      </c>
      <c r="B49" s="302">
        <v>0.49424132539540694</v>
      </c>
      <c r="C49" s="302">
        <v>0.19634394487364404</v>
      </c>
      <c r="D49" s="302">
        <v>0.15333026561753671</v>
      </c>
      <c r="E49" s="302">
        <f t="shared" si="35"/>
        <v>0.84391553588658763</v>
      </c>
      <c r="F49" s="303"/>
      <c r="G49" s="302">
        <v>0.45954173487338768</v>
      </c>
      <c r="H49" s="302">
        <v>0.1598670645242859</v>
      </c>
      <c r="I49" s="302">
        <v>2.7489470714943245E-2</v>
      </c>
      <c r="J49" s="302">
        <f t="shared" si="38"/>
        <v>0.6468982701126168</v>
      </c>
      <c r="K49" s="303"/>
      <c r="L49" s="302">
        <v>0.28407215215115922</v>
      </c>
      <c r="M49" s="302">
        <v>9.8918141705297308E-2</v>
      </c>
      <c r="N49" s="302">
        <v>1.7812007216362381E-2</v>
      </c>
      <c r="O49" s="302">
        <f t="shared" si="37"/>
        <v>0.40080230107281895</v>
      </c>
    </row>
    <row r="50" spans="1:15" s="236" customFormat="1" x14ac:dyDescent="0.3">
      <c r="A50" s="237" t="str">
        <f>name!E$11</f>
        <v>Process, plant and machine operatives</v>
      </c>
      <c r="B50" s="302">
        <v>5.0862933125720131</v>
      </c>
      <c r="C50" s="302">
        <v>0.17824582001142994</v>
      </c>
      <c r="D50" s="302">
        <v>0.74172390130182497</v>
      </c>
      <c r="E50" s="302">
        <f t="shared" si="35"/>
        <v>6.0062630338852676</v>
      </c>
      <c r="F50" s="303"/>
      <c r="G50" s="302">
        <v>4.000130407722521</v>
      </c>
      <c r="H50" s="302">
        <v>0.11397382456507643</v>
      </c>
      <c r="I50" s="302">
        <v>0.34468575455556721</v>
      </c>
      <c r="J50" s="302">
        <f t="shared" si="38"/>
        <v>4.4587899868431649</v>
      </c>
      <c r="K50" s="303"/>
      <c r="L50" s="302">
        <v>2.3238563484846888</v>
      </c>
      <c r="M50" s="302">
        <v>8.6991730882575266E-2</v>
      </c>
      <c r="N50" s="302">
        <v>0.33837552037085461</v>
      </c>
      <c r="O50" s="302">
        <f t="shared" si="37"/>
        <v>2.7492235997381185</v>
      </c>
    </row>
    <row r="51" spans="1:15" s="236" customFormat="1" x14ac:dyDescent="0.3">
      <c r="A51" s="237" t="str">
        <f>name!E$12</f>
        <v>Elementary occupations</v>
      </c>
      <c r="B51" s="302">
        <v>0.6713731252346562</v>
      </c>
      <c r="C51" s="302">
        <v>0.21753603122377035</v>
      </c>
      <c r="D51" s="302">
        <v>1.8975972799343914</v>
      </c>
      <c r="E51" s="302">
        <f t="shared" si="35"/>
        <v>2.786506436392818</v>
      </c>
      <c r="F51" s="303"/>
      <c r="G51" s="302">
        <v>0.44167716945700725</v>
      </c>
      <c r="H51" s="302">
        <v>0.1161323549051185</v>
      </c>
      <c r="I51" s="302">
        <v>0.32271151133742065</v>
      </c>
      <c r="J51" s="302">
        <f t="shared" si="38"/>
        <v>0.88052103569954632</v>
      </c>
      <c r="K51" s="303"/>
      <c r="L51" s="302">
        <v>0.19776790051749399</v>
      </c>
      <c r="M51" s="302">
        <v>4.5190002475473223E-2</v>
      </c>
      <c r="N51" s="302">
        <v>0.22090891199114168</v>
      </c>
      <c r="O51" s="302">
        <f t="shared" si="37"/>
        <v>0.46386681498410887</v>
      </c>
    </row>
    <row r="52" spans="1:15" s="236" customFormat="1" x14ac:dyDescent="0.3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3">
      <c r="A53" s="244" t="s">
        <v>32</v>
      </c>
      <c r="B53" s="311">
        <f>SUM(B43:B51)</f>
        <v>22.850999999881317</v>
      </c>
      <c r="C53" s="311">
        <f t="shared" ref="C53:E53" si="39">SUM(C43:C51)</f>
        <v>1.4309999999984886</v>
      </c>
      <c r="D53" s="311">
        <f t="shared" si="39"/>
        <v>6.1129999999779683</v>
      </c>
      <c r="E53" s="311">
        <f t="shared" si="39"/>
        <v>30.394999999857774</v>
      </c>
      <c r="F53" s="311"/>
      <c r="G53" s="311">
        <f t="shared" ref="G53:J53" si="40">SUM(G43:G51)</f>
        <v>21.213000000009913</v>
      </c>
      <c r="H53" s="311">
        <f t="shared" si="40"/>
        <v>1.4030000000011249</v>
      </c>
      <c r="I53" s="311">
        <f t="shared" si="40"/>
        <v>1.8899999999868431</v>
      </c>
      <c r="J53" s="311">
        <f t="shared" si="40"/>
        <v>24.505999999997883</v>
      </c>
      <c r="K53" s="311"/>
      <c r="L53" s="311">
        <f t="shared" ref="L53:O53" si="41">SUM(L43:L51)</f>
        <v>12.554000000055181</v>
      </c>
      <c r="M53" s="311">
        <f t="shared" si="41"/>
        <v>0.93400000000283578</v>
      </c>
      <c r="N53" s="311">
        <f t="shared" si="41"/>
        <v>1.2099999999850328</v>
      </c>
      <c r="O53" s="311">
        <f t="shared" si="41"/>
        <v>14.698000000043049</v>
      </c>
    </row>
    <row r="54" spans="1:15" s="236" customFormat="1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3">
      <c r="A57" s="241" t="str">
        <f>name!A6</f>
        <v>Food products</v>
      </c>
      <c r="B57" s="375">
        <f>$B$6</f>
        <v>2015</v>
      </c>
      <c r="C57" s="375"/>
      <c r="D57" s="375"/>
      <c r="E57" s="375"/>
      <c r="F57" s="263"/>
      <c r="G57" s="375">
        <f>$G$6</f>
        <v>2020</v>
      </c>
      <c r="H57" s="375"/>
      <c r="I57" s="375"/>
      <c r="J57" s="375"/>
      <c r="K57" s="263"/>
      <c r="L57" s="375">
        <f>$L$6</f>
        <v>2035</v>
      </c>
      <c r="M57" s="375"/>
      <c r="N57" s="375"/>
      <c r="O57" s="375"/>
    </row>
    <row r="58" spans="1:15" s="236" customFormat="1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3">
      <c r="A60" s="237" t="str">
        <f>name!E$4</f>
        <v>Managers, directors and senior officials</v>
      </c>
      <c r="B60" s="302">
        <v>20.939665013767765</v>
      </c>
      <c r="C60" s="302">
        <v>1.602332308883877</v>
      </c>
      <c r="D60" s="302">
        <v>2.0054341248044154</v>
      </c>
      <c r="E60" s="302">
        <f>SUM(B60:D60)</f>
        <v>24.547431447456059</v>
      </c>
      <c r="F60" s="303"/>
      <c r="G60" s="302">
        <v>28.821056946487801</v>
      </c>
      <c r="H60" s="302">
        <v>2.6626752715964024</v>
      </c>
      <c r="I60" s="302">
        <v>1.7950131722863185</v>
      </c>
      <c r="J60" s="302">
        <f>SUM(G60:I60)</f>
        <v>33.278745390370524</v>
      </c>
      <c r="K60" s="303"/>
      <c r="L60" s="302">
        <v>30.059568721428544</v>
      </c>
      <c r="M60" s="302">
        <v>2.9154324190500303</v>
      </c>
      <c r="N60" s="302">
        <v>1.9546378723139437</v>
      </c>
      <c r="O60" s="302">
        <f>SUM(L60:N60)</f>
        <v>34.929639012792521</v>
      </c>
    </row>
    <row r="61" spans="1:15" s="236" customFormat="1" x14ac:dyDescent="0.3">
      <c r="A61" s="237" t="str">
        <f>name!E$5</f>
        <v>Professional occupations</v>
      </c>
      <c r="B61" s="302">
        <v>18.008838419608672</v>
      </c>
      <c r="C61" s="302">
        <v>0.90672505048074448</v>
      </c>
      <c r="D61" s="302">
        <v>0.81055104890459484</v>
      </c>
      <c r="E61" s="302">
        <f t="shared" ref="E61:E68" si="42">SUM(B61:D61)</f>
        <v>19.726114518994013</v>
      </c>
      <c r="F61" s="303"/>
      <c r="G61" s="302">
        <v>27.266202586032218</v>
      </c>
      <c r="H61" s="302">
        <v>1.4411050210767069</v>
      </c>
      <c r="I61" s="302">
        <v>0.76565388235842036</v>
      </c>
      <c r="J61" s="302">
        <f t="shared" ref="J61:J63" si="43">SUM(G61:I61)</f>
        <v>29.472961489467345</v>
      </c>
      <c r="K61" s="303"/>
      <c r="L61" s="302">
        <v>36.283869263345757</v>
      </c>
      <c r="M61" s="302">
        <v>1.5372530995086722</v>
      </c>
      <c r="N61" s="302">
        <v>0.57065442173552161</v>
      </c>
      <c r="O61" s="302">
        <f t="shared" ref="O61:O68" si="44">SUM(L61:N61)</f>
        <v>38.39177678458995</v>
      </c>
    </row>
    <row r="62" spans="1:15" s="236" customFormat="1" x14ac:dyDescent="0.3">
      <c r="A62" s="237" t="str">
        <f>name!E$6</f>
        <v>Associate professional occupations</v>
      </c>
      <c r="B62" s="302">
        <v>25.356848881267105</v>
      </c>
      <c r="C62" s="302">
        <v>1.9321221788513632</v>
      </c>
      <c r="D62" s="302">
        <v>0.60236771096500819</v>
      </c>
      <c r="E62" s="302">
        <f t="shared" si="42"/>
        <v>27.891338771083475</v>
      </c>
      <c r="F62" s="303"/>
      <c r="G62" s="302">
        <v>35.874261578941649</v>
      </c>
      <c r="H62" s="302">
        <v>2.4760638550670127</v>
      </c>
      <c r="I62" s="302">
        <v>0.48377350376591322</v>
      </c>
      <c r="J62" s="302">
        <f t="shared" si="43"/>
        <v>38.83409893777457</v>
      </c>
      <c r="K62" s="303"/>
      <c r="L62" s="302">
        <v>36.984925255942855</v>
      </c>
      <c r="M62" s="302">
        <v>2.0094870422769913</v>
      </c>
      <c r="N62" s="302">
        <v>0.30931363427409292</v>
      </c>
      <c r="O62" s="302">
        <f t="shared" si="44"/>
        <v>39.30372593249394</v>
      </c>
    </row>
    <row r="63" spans="1:15" s="236" customFormat="1" x14ac:dyDescent="0.3">
      <c r="A63" s="237" t="str">
        <f>name!E$7</f>
        <v>Administrative and secretarial occupations</v>
      </c>
      <c r="B63" s="302">
        <v>15.74271890872393</v>
      </c>
      <c r="C63" s="302">
        <v>6.5182190525627961</v>
      </c>
      <c r="D63" s="302">
        <v>0.69212492215185306</v>
      </c>
      <c r="E63" s="302">
        <f t="shared" si="42"/>
        <v>22.953062883438577</v>
      </c>
      <c r="F63" s="303"/>
      <c r="G63" s="302">
        <v>20.011752430699186</v>
      </c>
      <c r="H63" s="302">
        <v>6.5275371188796392</v>
      </c>
      <c r="I63" s="302">
        <v>0.43486226738133449</v>
      </c>
      <c r="J63" s="302">
        <f t="shared" si="43"/>
        <v>26.974151816960159</v>
      </c>
      <c r="K63" s="303"/>
      <c r="L63" s="302">
        <v>18.744292888981978</v>
      </c>
      <c r="M63" s="302">
        <v>6.0697247404733483</v>
      </c>
      <c r="N63" s="302">
        <v>0.33327394392253884</v>
      </c>
      <c r="O63" s="302">
        <f t="shared" si="44"/>
        <v>25.147291573377863</v>
      </c>
    </row>
    <row r="64" spans="1:15" s="236" customFormat="1" x14ac:dyDescent="0.3">
      <c r="A64" s="237" t="str">
        <f>name!E$8</f>
        <v>Skilled trades occupations</v>
      </c>
      <c r="B64" s="302">
        <v>40.009537320036721</v>
      </c>
      <c r="C64" s="302">
        <v>2.1693852075221556</v>
      </c>
      <c r="D64" s="302">
        <v>4.8709969577167085</v>
      </c>
      <c r="E64" s="302">
        <f t="shared" si="42"/>
        <v>47.049919485275581</v>
      </c>
      <c r="F64" s="303"/>
      <c r="G64" s="302">
        <v>37.056676221696009</v>
      </c>
      <c r="H64" s="302">
        <v>1.7827603473541203</v>
      </c>
      <c r="I64" s="302">
        <v>3.6576627642359987</v>
      </c>
      <c r="J64" s="302">
        <f>SUM(G64:I64)</f>
        <v>42.49709933328613</v>
      </c>
      <c r="K64" s="303"/>
      <c r="L64" s="302">
        <v>32.851335500289615</v>
      </c>
      <c r="M64" s="302">
        <v>1.34991263755094</v>
      </c>
      <c r="N64" s="302">
        <v>3.1401745689335048</v>
      </c>
      <c r="O64" s="302">
        <f t="shared" si="44"/>
        <v>37.341422706774061</v>
      </c>
    </row>
    <row r="65" spans="1:15" s="236" customFormat="1" x14ac:dyDescent="0.3">
      <c r="A65" s="237" t="str">
        <f>name!E$9</f>
        <v>Caring, leisure and other service occupations</v>
      </c>
      <c r="B65" s="302">
        <v>1.6560435055444067</v>
      </c>
      <c r="C65" s="302">
        <v>0.43418298225057994</v>
      </c>
      <c r="D65" s="302">
        <v>0.1974007668869282</v>
      </c>
      <c r="E65" s="302">
        <f t="shared" si="42"/>
        <v>2.2876272546819147</v>
      </c>
      <c r="F65" s="303"/>
      <c r="G65" s="302">
        <v>2.0360575642684329</v>
      </c>
      <c r="H65" s="302">
        <v>0.43110896955815919</v>
      </c>
      <c r="I65" s="302">
        <v>0.2321317556570395</v>
      </c>
      <c r="J65" s="302">
        <f t="shared" ref="J65:J68" si="45">SUM(G65:I65)</f>
        <v>2.6992982894836315</v>
      </c>
      <c r="K65" s="303"/>
      <c r="L65" s="302">
        <v>2.0285295797385015</v>
      </c>
      <c r="M65" s="302">
        <v>0.35934720063244047</v>
      </c>
      <c r="N65" s="302">
        <v>0.2909875770679321</v>
      </c>
      <c r="O65" s="302">
        <f t="shared" si="44"/>
        <v>2.678864357438874</v>
      </c>
    </row>
    <row r="66" spans="1:15" s="236" customFormat="1" x14ac:dyDescent="0.3">
      <c r="A66" s="237" t="str">
        <f>name!E$10</f>
        <v>Sales and customer service occupations</v>
      </c>
      <c r="B66" s="302">
        <v>6.6311654423322999</v>
      </c>
      <c r="C66" s="302">
        <v>5.6056249257583222</v>
      </c>
      <c r="D66" s="302">
        <v>0.53084116095982303</v>
      </c>
      <c r="E66" s="302">
        <f t="shared" si="42"/>
        <v>12.767631529050446</v>
      </c>
      <c r="F66" s="303"/>
      <c r="G66" s="302">
        <v>7.5723604197291712</v>
      </c>
      <c r="H66" s="302">
        <v>5.5853380989232058</v>
      </c>
      <c r="I66" s="302">
        <v>0.34948370091444919</v>
      </c>
      <c r="J66" s="302">
        <f t="shared" si="45"/>
        <v>13.507182219566827</v>
      </c>
      <c r="K66" s="303"/>
      <c r="L66" s="302">
        <v>7.865867834761695</v>
      </c>
      <c r="M66" s="302">
        <v>5.3414483019163495</v>
      </c>
      <c r="N66" s="302">
        <v>0.32827594027853424</v>
      </c>
      <c r="O66" s="302">
        <f t="shared" si="44"/>
        <v>13.535592076956579</v>
      </c>
    </row>
    <row r="67" spans="1:15" s="236" customFormat="1" x14ac:dyDescent="0.3">
      <c r="A67" s="237" t="str">
        <f>name!E$11</f>
        <v>Process, plant and machine operatives</v>
      </c>
      <c r="B67" s="302">
        <v>89.549966881166711</v>
      </c>
      <c r="C67" s="302">
        <v>8.822487221797811</v>
      </c>
      <c r="D67" s="302">
        <v>1.6953910761813897</v>
      </c>
      <c r="E67" s="302">
        <f t="shared" si="42"/>
        <v>100.06784517914592</v>
      </c>
      <c r="F67" s="303"/>
      <c r="G67" s="302">
        <v>83.183564545338385</v>
      </c>
      <c r="H67" s="302">
        <v>8.7781639354372611</v>
      </c>
      <c r="I67" s="302">
        <v>2.1907775763054436</v>
      </c>
      <c r="J67" s="302">
        <f t="shared" si="45"/>
        <v>94.152506057081098</v>
      </c>
      <c r="K67" s="303"/>
      <c r="L67" s="302">
        <v>81.595287378830847</v>
      </c>
      <c r="M67" s="302">
        <v>10.982568723708441</v>
      </c>
      <c r="N67" s="302">
        <v>2.8587541417871951</v>
      </c>
      <c r="O67" s="302">
        <f t="shared" si="44"/>
        <v>95.436610244326488</v>
      </c>
    </row>
    <row r="68" spans="1:15" s="236" customFormat="1" x14ac:dyDescent="0.3">
      <c r="A68" s="237" t="str">
        <f>name!E$12</f>
        <v>Elementary occupations</v>
      </c>
      <c r="B68" s="302">
        <v>43.923215627919255</v>
      </c>
      <c r="C68" s="302">
        <v>9.9979210727098557</v>
      </c>
      <c r="D68" s="302">
        <v>0.8718922315316765</v>
      </c>
      <c r="E68" s="302">
        <f t="shared" si="42"/>
        <v>54.793028932160787</v>
      </c>
      <c r="F68" s="303"/>
      <c r="G68" s="302">
        <v>40.261067706848216</v>
      </c>
      <c r="H68" s="302">
        <v>10.096247382589121</v>
      </c>
      <c r="I68" s="302">
        <v>0.52064137694532064</v>
      </c>
      <c r="J68" s="302">
        <f t="shared" si="45"/>
        <v>50.877956466382656</v>
      </c>
      <c r="K68" s="303"/>
      <c r="L68" s="302">
        <v>31.502323576545631</v>
      </c>
      <c r="M68" s="302">
        <v>9.1738258346106321</v>
      </c>
      <c r="N68" s="302">
        <v>0.60692789963335236</v>
      </c>
      <c r="O68" s="302">
        <f t="shared" si="44"/>
        <v>41.283077310789615</v>
      </c>
    </row>
    <row r="69" spans="1:15" s="236" customFormat="1" x14ac:dyDescent="0.3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3">
      <c r="A70" s="244" t="s">
        <v>32</v>
      </c>
      <c r="B70" s="311">
        <f>SUM(B60:B68)</f>
        <v>261.81800000036685</v>
      </c>
      <c r="C70" s="311">
        <f t="shared" ref="C70:E70" si="46">SUM(C60:C68)</f>
        <v>37.989000000817505</v>
      </c>
      <c r="D70" s="311">
        <f t="shared" si="46"/>
        <v>12.277000000102397</v>
      </c>
      <c r="E70" s="311">
        <f t="shared" si="46"/>
        <v>312.08400000128677</v>
      </c>
      <c r="F70" s="311"/>
      <c r="G70" s="311">
        <f t="shared" ref="G70:J70" si="47">SUM(G60:G68)</f>
        <v>282.08300000004107</v>
      </c>
      <c r="H70" s="311">
        <f t="shared" si="47"/>
        <v>39.781000000481626</v>
      </c>
      <c r="I70" s="311">
        <f t="shared" si="47"/>
        <v>10.429999999850239</v>
      </c>
      <c r="J70" s="311">
        <f t="shared" si="47"/>
        <v>332.29400000037299</v>
      </c>
      <c r="K70" s="311"/>
      <c r="L70" s="311">
        <f t="shared" ref="L70:O70" si="48">SUM(L60:L68)</f>
        <v>277.91599999986539</v>
      </c>
      <c r="M70" s="311">
        <f t="shared" si="48"/>
        <v>39.738999999727845</v>
      </c>
      <c r="N70" s="311">
        <f t="shared" si="48"/>
        <v>10.392999999946614</v>
      </c>
      <c r="O70" s="311">
        <f t="shared" si="48"/>
        <v>328.04799999953991</v>
      </c>
    </row>
    <row r="71" spans="1:15" s="236" customFormat="1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3">
      <c r="A74" s="241" t="str">
        <f>name!A7</f>
        <v>Beverages and tobacco</v>
      </c>
      <c r="B74" s="375">
        <f>$B$6</f>
        <v>2015</v>
      </c>
      <c r="C74" s="375"/>
      <c r="D74" s="375"/>
      <c r="E74" s="375"/>
      <c r="F74" s="263"/>
      <c r="G74" s="375">
        <f>$G$6</f>
        <v>2020</v>
      </c>
      <c r="H74" s="375"/>
      <c r="I74" s="375"/>
      <c r="J74" s="375"/>
      <c r="K74" s="263"/>
      <c r="L74" s="375">
        <f>$L$6</f>
        <v>2035</v>
      </c>
      <c r="M74" s="375"/>
      <c r="N74" s="375"/>
      <c r="O74" s="375"/>
    </row>
    <row r="75" spans="1:15" s="236" customFormat="1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3">
      <c r="A77" s="237" t="str">
        <f>name!E$4</f>
        <v>Managers, directors and senior officials</v>
      </c>
      <c r="B77" s="302">
        <v>2.9883322503940408</v>
      </c>
      <c r="C77" s="302">
        <v>0.22661781137007295</v>
      </c>
      <c r="D77" s="302">
        <v>0.12085115517932905</v>
      </c>
      <c r="E77" s="302">
        <f>SUM(B77:D77)</f>
        <v>3.3358012169434428</v>
      </c>
      <c r="F77" s="303"/>
      <c r="G77" s="302">
        <v>4.1781532897379989</v>
      </c>
      <c r="H77" s="302">
        <v>0.55945952423257173</v>
      </c>
      <c r="I77" s="302">
        <v>0.31533040169665605</v>
      </c>
      <c r="J77" s="302">
        <f>SUM(G77:I77)</f>
        <v>5.0529432156672263</v>
      </c>
      <c r="K77" s="303"/>
      <c r="L77" s="302">
        <v>4.0823302996162569</v>
      </c>
      <c r="M77" s="302">
        <v>0.64323813783391137</v>
      </c>
      <c r="N77" s="302">
        <v>0.39519227380220523</v>
      </c>
      <c r="O77" s="302">
        <f>SUM(L77:N77)</f>
        <v>5.1207607112523741</v>
      </c>
    </row>
    <row r="78" spans="1:15" s="236" customFormat="1" x14ac:dyDescent="0.3">
      <c r="A78" s="237" t="str">
        <f>name!E$5</f>
        <v>Professional occupations</v>
      </c>
      <c r="B78" s="302">
        <v>3.3192799425658475</v>
      </c>
      <c r="C78" s="302">
        <v>0.30735003907473696</v>
      </c>
      <c r="D78" s="302">
        <v>0.24371606439708562</v>
      </c>
      <c r="E78" s="302">
        <f t="shared" ref="E78:E85" si="49">SUM(B78:D78)</f>
        <v>3.8703460460376697</v>
      </c>
      <c r="F78" s="303"/>
      <c r="G78" s="302">
        <v>5.121199434528541</v>
      </c>
      <c r="H78" s="302">
        <v>0.61936245413854185</v>
      </c>
      <c r="I78" s="302">
        <v>0.44454836889410226</v>
      </c>
      <c r="J78" s="302">
        <f t="shared" ref="J78:J80" si="50">SUM(G78:I78)</f>
        <v>6.1851102575611847</v>
      </c>
      <c r="K78" s="303"/>
      <c r="L78" s="302">
        <v>6.1736933080229273</v>
      </c>
      <c r="M78" s="302">
        <v>0.63392494655542619</v>
      </c>
      <c r="N78" s="302">
        <v>0.39557734428434799</v>
      </c>
      <c r="O78" s="302">
        <f t="shared" ref="O78:O85" si="51">SUM(L78:N78)</f>
        <v>7.2031955988627017</v>
      </c>
    </row>
    <row r="79" spans="1:15" s="236" customFormat="1" x14ac:dyDescent="0.3">
      <c r="A79" s="237" t="str">
        <f>name!E$6</f>
        <v>Associate professional occupations</v>
      </c>
      <c r="B79" s="302">
        <v>3.6968126658039857</v>
      </c>
      <c r="C79" s="302">
        <v>0.54008549286660246</v>
      </c>
      <c r="D79" s="302">
        <v>0.10103183190724704</v>
      </c>
      <c r="E79" s="302">
        <f t="shared" si="49"/>
        <v>4.3379299905778348</v>
      </c>
      <c r="F79" s="303"/>
      <c r="G79" s="302">
        <v>5.296648569811186</v>
      </c>
      <c r="H79" s="302">
        <v>1.0469554344934597</v>
      </c>
      <c r="I79" s="302">
        <v>0.18160561227761998</v>
      </c>
      <c r="J79" s="302">
        <f t="shared" si="50"/>
        <v>6.5252096165822655</v>
      </c>
      <c r="K79" s="303"/>
      <c r="L79" s="302">
        <v>5.1459650832973853</v>
      </c>
      <c r="M79" s="302">
        <v>0.91777972807469554</v>
      </c>
      <c r="N79" s="302">
        <v>0.14901119046567876</v>
      </c>
      <c r="O79" s="302">
        <f t="shared" si="51"/>
        <v>6.212756001837759</v>
      </c>
    </row>
    <row r="80" spans="1:15" s="236" customFormat="1" x14ac:dyDescent="0.3">
      <c r="A80" s="237" t="str">
        <f>name!E$7</f>
        <v>Administrative and secretarial occupations</v>
      </c>
      <c r="B80" s="302">
        <v>1.7090311733214028</v>
      </c>
      <c r="C80" s="302">
        <v>0.88261523574202916</v>
      </c>
      <c r="D80" s="302">
        <v>5.1649121524438187E-2</v>
      </c>
      <c r="E80" s="302">
        <f t="shared" si="49"/>
        <v>2.6432955305878703</v>
      </c>
      <c r="F80" s="303"/>
      <c r="G80" s="302">
        <v>1.9752635549116007</v>
      </c>
      <c r="H80" s="302">
        <v>1.2982249395292578</v>
      </c>
      <c r="I80" s="302">
        <v>7.2980802747200202E-2</v>
      </c>
      <c r="J80" s="302">
        <f t="shared" si="50"/>
        <v>3.3464692971880585</v>
      </c>
      <c r="K80" s="303"/>
      <c r="L80" s="302">
        <v>1.3795806130148978</v>
      </c>
      <c r="M80" s="302">
        <v>1.1901114853968666</v>
      </c>
      <c r="N80" s="302">
        <v>7.7826799180577402E-2</v>
      </c>
      <c r="O80" s="302">
        <f t="shared" si="51"/>
        <v>2.6475188975923416</v>
      </c>
    </row>
    <row r="81" spans="1:15" s="236" customFormat="1" x14ac:dyDescent="0.3">
      <c r="A81" s="237" t="str">
        <f>name!E$8</f>
        <v>Skilled trades occupations</v>
      </c>
      <c r="B81" s="302">
        <v>1.836386785987622</v>
      </c>
      <c r="C81" s="302">
        <v>0.12247142398225495</v>
      </c>
      <c r="D81" s="302">
        <v>0.18782900428328669</v>
      </c>
      <c r="E81" s="302">
        <f t="shared" si="49"/>
        <v>2.1466872142531637</v>
      </c>
      <c r="F81" s="303"/>
      <c r="G81" s="302">
        <v>1.889014205005864</v>
      </c>
      <c r="H81" s="302">
        <v>0.15319001570882504</v>
      </c>
      <c r="I81" s="302">
        <v>0.32983202010950813</v>
      </c>
      <c r="J81" s="302">
        <f>SUM(G81:I81)</f>
        <v>2.3720362408241971</v>
      </c>
      <c r="K81" s="303"/>
      <c r="L81" s="302">
        <v>1.5823757754974694</v>
      </c>
      <c r="M81" s="302">
        <v>0.13109208229985828</v>
      </c>
      <c r="N81" s="302">
        <v>0.32741424015302917</v>
      </c>
      <c r="O81" s="302">
        <f t="shared" si="51"/>
        <v>2.040882097950357</v>
      </c>
    </row>
    <row r="82" spans="1:15" s="236" customFormat="1" x14ac:dyDescent="0.3">
      <c r="A82" s="237" t="str">
        <f>name!E$9</f>
        <v>Caring, leisure and other service occupations</v>
      </c>
      <c r="B82" s="302">
        <v>0.60919595063667864</v>
      </c>
      <c r="C82" s="302">
        <v>0.30879763877348693</v>
      </c>
      <c r="D82" s="302">
        <v>8.5313698501810045E-2</v>
      </c>
      <c r="E82" s="302">
        <f t="shared" si="49"/>
        <v>1.0033072879119758</v>
      </c>
      <c r="F82" s="303"/>
      <c r="G82" s="302">
        <v>0.75211562529954401</v>
      </c>
      <c r="H82" s="302">
        <v>0.35440790928097715</v>
      </c>
      <c r="I82" s="302">
        <v>0.19052406308392783</v>
      </c>
      <c r="J82" s="302">
        <f t="shared" ref="J82:J85" si="52">SUM(G82:I82)</f>
        <v>1.2970475976644489</v>
      </c>
      <c r="K82" s="303"/>
      <c r="L82" s="302">
        <v>0.85248927198264912</v>
      </c>
      <c r="M82" s="302">
        <v>0.29131984600101168</v>
      </c>
      <c r="N82" s="302">
        <v>0.22757893300597629</v>
      </c>
      <c r="O82" s="302">
        <f t="shared" si="51"/>
        <v>1.371388050989637</v>
      </c>
    </row>
    <row r="83" spans="1:15" s="236" customFormat="1" x14ac:dyDescent="0.3">
      <c r="A83" s="237" t="str">
        <f>name!E$10</f>
        <v>Sales and customer service occupations</v>
      </c>
      <c r="B83" s="302">
        <v>0.86707554124780128</v>
      </c>
      <c r="C83" s="302">
        <v>0.47335430025287928</v>
      </c>
      <c r="D83" s="302">
        <v>9.73106381943665E-2</v>
      </c>
      <c r="E83" s="302">
        <f t="shared" si="49"/>
        <v>1.437740479695047</v>
      </c>
      <c r="F83" s="303"/>
      <c r="G83" s="302">
        <v>1.0066072428551369</v>
      </c>
      <c r="H83" s="302">
        <v>0.75610582646611124</v>
      </c>
      <c r="I83" s="302">
        <v>0.17190251611481611</v>
      </c>
      <c r="J83" s="302">
        <f t="shared" si="52"/>
        <v>1.934615585436064</v>
      </c>
      <c r="K83" s="303"/>
      <c r="L83" s="302">
        <v>0.96513579121611415</v>
      </c>
      <c r="M83" s="302">
        <v>0.85946720245650698</v>
      </c>
      <c r="N83" s="302">
        <v>0.23140088555105354</v>
      </c>
      <c r="O83" s="302">
        <f t="shared" si="51"/>
        <v>2.0560038792236748</v>
      </c>
    </row>
    <row r="84" spans="1:15" s="236" customFormat="1" x14ac:dyDescent="0.3">
      <c r="A84" s="237" t="str">
        <f>name!E$11</f>
        <v>Process, plant and machine operatives</v>
      </c>
      <c r="B84" s="302">
        <v>4.8291733007832756</v>
      </c>
      <c r="C84" s="302">
        <v>0.30580216628184209</v>
      </c>
      <c r="D84" s="302">
        <v>9.7746279312006759E-2</v>
      </c>
      <c r="E84" s="302">
        <f t="shared" si="49"/>
        <v>5.2327217463771252</v>
      </c>
      <c r="F84" s="303"/>
      <c r="G84" s="302">
        <v>4.7958669189122505</v>
      </c>
      <c r="H84" s="302">
        <v>0.49656000345173218</v>
      </c>
      <c r="I84" s="302">
        <v>0.195037798185525</v>
      </c>
      <c r="J84" s="302">
        <f t="shared" si="52"/>
        <v>5.4874647205495073</v>
      </c>
      <c r="K84" s="303"/>
      <c r="L84" s="302">
        <v>4.6249959549581234</v>
      </c>
      <c r="M84" s="302">
        <v>0.66415003938108097</v>
      </c>
      <c r="N84" s="302">
        <v>0.19618710636955156</v>
      </c>
      <c r="O84" s="302">
        <f t="shared" si="51"/>
        <v>5.4853331007087558</v>
      </c>
    </row>
    <row r="85" spans="1:15" s="236" customFormat="1" x14ac:dyDescent="0.3">
      <c r="A85" s="237" t="str">
        <f>name!E$12</f>
        <v>Elementary occupations</v>
      </c>
      <c r="B85" s="302">
        <v>2.0377123892433437</v>
      </c>
      <c r="C85" s="302">
        <v>0.70990589168341467</v>
      </c>
      <c r="D85" s="302">
        <v>8.8552206704564762E-2</v>
      </c>
      <c r="E85" s="302">
        <f t="shared" si="49"/>
        <v>2.836170487631323</v>
      </c>
      <c r="F85" s="303"/>
      <c r="G85" s="302">
        <v>1.9941311588202721</v>
      </c>
      <c r="H85" s="302">
        <v>0.71273389271527621</v>
      </c>
      <c r="I85" s="302">
        <v>0.10723841689002944</v>
      </c>
      <c r="J85" s="302">
        <f t="shared" si="52"/>
        <v>2.8141034684255777</v>
      </c>
      <c r="K85" s="303"/>
      <c r="L85" s="302">
        <v>1.323433902305295</v>
      </c>
      <c r="M85" s="302">
        <v>0.4339165319645274</v>
      </c>
      <c r="N85" s="302">
        <v>0.14981122719236642</v>
      </c>
      <c r="O85" s="302">
        <f t="shared" si="51"/>
        <v>1.9071616614621889</v>
      </c>
    </row>
    <row r="86" spans="1:15" s="236" customFormat="1" x14ac:dyDescent="0.3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3">
      <c r="A87" s="244" t="s">
        <v>32</v>
      </c>
      <c r="B87" s="311">
        <f>SUM(B77:B85)</f>
        <v>21.892999999983999</v>
      </c>
      <c r="C87" s="311">
        <f t="shared" ref="C87:E87" si="53">SUM(C77:C85)</f>
        <v>3.8770000000273193</v>
      </c>
      <c r="D87" s="311">
        <f t="shared" si="53"/>
        <v>1.0740000000041348</v>
      </c>
      <c r="E87" s="311">
        <f t="shared" si="53"/>
        <v>26.844000000015448</v>
      </c>
      <c r="F87" s="311"/>
      <c r="G87" s="311">
        <f t="shared" ref="G87:J87" si="54">SUM(G77:G85)</f>
        <v>27.008999999882395</v>
      </c>
      <c r="H87" s="311">
        <f t="shared" si="54"/>
        <v>5.9970000000167527</v>
      </c>
      <c r="I87" s="311">
        <f t="shared" si="54"/>
        <v>2.0089999999993848</v>
      </c>
      <c r="J87" s="311">
        <f t="shared" si="54"/>
        <v>35.014999999898528</v>
      </c>
      <c r="K87" s="311"/>
      <c r="L87" s="311">
        <f t="shared" ref="L87:O87" si="55">SUM(L77:L85)</f>
        <v>26.129999999911114</v>
      </c>
      <c r="M87" s="311">
        <f t="shared" si="55"/>
        <v>5.7649999999638846</v>
      </c>
      <c r="N87" s="311">
        <f t="shared" si="55"/>
        <v>2.1500000000047863</v>
      </c>
      <c r="O87" s="311">
        <f t="shared" si="55"/>
        <v>34.044999999879792</v>
      </c>
    </row>
    <row r="88" spans="1:15" s="236" customFormat="1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3">
      <c r="A91" s="241" t="str">
        <f>name!A8</f>
        <v>Textiles</v>
      </c>
      <c r="B91" s="375">
        <f>$B$6</f>
        <v>2015</v>
      </c>
      <c r="C91" s="375"/>
      <c r="D91" s="375"/>
      <c r="E91" s="375"/>
      <c r="F91" s="263"/>
      <c r="G91" s="375">
        <f>$G$6</f>
        <v>2020</v>
      </c>
      <c r="H91" s="375"/>
      <c r="I91" s="375"/>
      <c r="J91" s="375"/>
      <c r="K91" s="263"/>
      <c r="L91" s="375">
        <f>$L$6</f>
        <v>2035</v>
      </c>
      <c r="M91" s="375"/>
      <c r="N91" s="375"/>
      <c r="O91" s="375"/>
    </row>
    <row r="92" spans="1:15" s="236" customFormat="1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3">
      <c r="A94" s="237" t="str">
        <f>name!E$4</f>
        <v>Managers, directors and senior officials</v>
      </c>
      <c r="B94" s="302">
        <v>4.0051465798650874</v>
      </c>
      <c r="C94" s="302">
        <v>0.2019419002432313</v>
      </c>
      <c r="D94" s="302">
        <v>1.9428037949193788</v>
      </c>
      <c r="E94" s="302">
        <f>SUM(B94:D94)</f>
        <v>6.1498922750276979</v>
      </c>
      <c r="F94" s="303"/>
      <c r="G94" s="302">
        <v>5.4345751015205099</v>
      </c>
      <c r="H94" s="302">
        <v>0.62700915143213121</v>
      </c>
      <c r="I94" s="302">
        <v>2.4901270644934277</v>
      </c>
      <c r="J94" s="302">
        <f>SUM(G94:I94)</f>
        <v>8.5517113174460686</v>
      </c>
      <c r="K94" s="303"/>
      <c r="L94" s="302">
        <v>4.3109217892594014</v>
      </c>
      <c r="M94" s="302">
        <v>0.47193526409091979</v>
      </c>
      <c r="N94" s="302">
        <v>2.0033288125490576</v>
      </c>
      <c r="O94" s="302">
        <f>SUM(L94:N94)</f>
        <v>6.7861858658993786</v>
      </c>
    </row>
    <row r="95" spans="1:15" s="236" customFormat="1" x14ac:dyDescent="0.3">
      <c r="A95" s="237" t="str">
        <f>name!E$5</f>
        <v>Professional occupations</v>
      </c>
      <c r="B95" s="302">
        <v>3.0416372348712337</v>
      </c>
      <c r="C95" s="302">
        <v>0.20603830619071198</v>
      </c>
      <c r="D95" s="302">
        <v>0.73348086193190221</v>
      </c>
      <c r="E95" s="302">
        <f t="shared" ref="E95:E102" si="56">SUM(B95:D95)</f>
        <v>3.9811564029938475</v>
      </c>
      <c r="F95" s="303"/>
      <c r="G95" s="302">
        <v>4.4911160840674222</v>
      </c>
      <c r="H95" s="302">
        <v>0.55218334723717477</v>
      </c>
      <c r="I95" s="302">
        <v>0.73803752221847707</v>
      </c>
      <c r="J95" s="302">
        <f t="shared" ref="J95:J97" si="57">SUM(G95:I95)</f>
        <v>5.7813369535230734</v>
      </c>
      <c r="K95" s="303"/>
      <c r="L95" s="302">
        <v>4.2836960599531189</v>
      </c>
      <c r="M95" s="302">
        <v>0.43631217199656147</v>
      </c>
      <c r="N95" s="302">
        <v>0.45567545213467076</v>
      </c>
      <c r="O95" s="302">
        <f t="shared" ref="O95:O102" si="58">SUM(L95:N95)</f>
        <v>5.1756836840843512</v>
      </c>
    </row>
    <row r="96" spans="1:15" s="236" customFormat="1" x14ac:dyDescent="0.3">
      <c r="A96" s="237" t="str">
        <f>name!E$6</f>
        <v>Associate professional occupations</v>
      </c>
      <c r="B96" s="302">
        <v>2.8708126562208554</v>
      </c>
      <c r="C96" s="302">
        <v>0.38751346367698991</v>
      </c>
      <c r="D96" s="302">
        <v>1.1487859042772128</v>
      </c>
      <c r="E96" s="302">
        <f t="shared" si="56"/>
        <v>4.4071120241750581</v>
      </c>
      <c r="F96" s="303"/>
      <c r="G96" s="302">
        <v>3.8390317214277219</v>
      </c>
      <c r="H96" s="302">
        <v>0.79920334888344069</v>
      </c>
      <c r="I96" s="302">
        <v>1.3119803893897102</v>
      </c>
      <c r="J96" s="302">
        <f t="shared" si="57"/>
        <v>5.950215459700873</v>
      </c>
      <c r="K96" s="303"/>
      <c r="L96" s="302">
        <v>3.0112561278411256</v>
      </c>
      <c r="M96" s="302">
        <v>0.4927984602344046</v>
      </c>
      <c r="N96" s="302">
        <v>1.0038578435975527</v>
      </c>
      <c r="O96" s="302">
        <f t="shared" si="58"/>
        <v>4.5079124316730823</v>
      </c>
    </row>
    <row r="97" spans="1:15" s="236" customFormat="1" x14ac:dyDescent="0.3">
      <c r="A97" s="237" t="str">
        <f>name!E$7</f>
        <v>Administrative and secretarial occupations</v>
      </c>
      <c r="B97" s="302">
        <v>3.0741562609875772</v>
      </c>
      <c r="C97" s="302">
        <v>0.57247478157665566</v>
      </c>
      <c r="D97" s="302">
        <v>0.1913230594839031</v>
      </c>
      <c r="E97" s="302">
        <f t="shared" si="56"/>
        <v>3.837954102048136</v>
      </c>
      <c r="F97" s="303"/>
      <c r="G97" s="302">
        <v>3.6894565154592196</v>
      </c>
      <c r="H97" s="302">
        <v>0.90097470033480231</v>
      </c>
      <c r="I97" s="302">
        <v>0.19848601811433186</v>
      </c>
      <c r="J97" s="302">
        <f t="shared" si="57"/>
        <v>4.7889172339083537</v>
      </c>
      <c r="K97" s="303"/>
      <c r="L97" s="302">
        <v>2.6555041791971616</v>
      </c>
      <c r="M97" s="302">
        <v>0.50813933594310512</v>
      </c>
      <c r="N97" s="302">
        <v>0.1461120417607254</v>
      </c>
      <c r="O97" s="302">
        <f t="shared" si="58"/>
        <v>3.3097555569009924</v>
      </c>
    </row>
    <row r="98" spans="1:15" s="236" customFormat="1" x14ac:dyDescent="0.3">
      <c r="A98" s="237" t="str">
        <f>name!E$8</f>
        <v>Skilled trades occupations</v>
      </c>
      <c r="B98" s="302">
        <v>6.3209351032726158</v>
      </c>
      <c r="C98" s="302">
        <v>0.56534787565059752</v>
      </c>
      <c r="D98" s="302">
        <v>2.3129114074704105</v>
      </c>
      <c r="E98" s="302">
        <f t="shared" si="56"/>
        <v>9.1991943863936232</v>
      </c>
      <c r="F98" s="303"/>
      <c r="G98" s="302">
        <v>5.8162664405242737</v>
      </c>
      <c r="H98" s="302">
        <v>0.74360725994867538</v>
      </c>
      <c r="I98" s="302">
        <v>2.5385361442138001</v>
      </c>
      <c r="J98" s="302">
        <f>SUM(G98:I98)</f>
        <v>9.0984098446867492</v>
      </c>
      <c r="K98" s="303"/>
      <c r="L98" s="302">
        <v>3.5621698069979719</v>
      </c>
      <c r="M98" s="302">
        <v>0.49649634128881703</v>
      </c>
      <c r="N98" s="302">
        <v>1.5280689825797507</v>
      </c>
      <c r="O98" s="302">
        <f t="shared" si="58"/>
        <v>5.5867351308665398</v>
      </c>
    </row>
    <row r="99" spans="1:15" s="236" customFormat="1" x14ac:dyDescent="0.3">
      <c r="A99" s="237" t="str">
        <f>name!E$9</f>
        <v>Caring, leisure and other service occupations</v>
      </c>
      <c r="B99" s="302">
        <v>0.43115548876652948</v>
      </c>
      <c r="C99" s="302">
        <v>4.4375626707390023E-2</v>
      </c>
      <c r="D99" s="302">
        <v>0.46234507186942136</v>
      </c>
      <c r="E99" s="302">
        <f t="shared" si="56"/>
        <v>0.93787618734334088</v>
      </c>
      <c r="F99" s="303"/>
      <c r="G99" s="302">
        <v>0.41474295783632154</v>
      </c>
      <c r="H99" s="302">
        <v>0.13690899238724449</v>
      </c>
      <c r="I99" s="302">
        <v>0.96580303680213642</v>
      </c>
      <c r="J99" s="302">
        <f t="shared" ref="J99:J102" si="59">SUM(G99:I99)</f>
        <v>1.5174549870257024</v>
      </c>
      <c r="K99" s="303"/>
      <c r="L99" s="302">
        <v>0.3244081050811245</v>
      </c>
      <c r="M99" s="302">
        <v>0.11897161947075538</v>
      </c>
      <c r="N99" s="302">
        <v>0.71255958386278817</v>
      </c>
      <c r="O99" s="302">
        <f t="shared" si="58"/>
        <v>1.1559393084146681</v>
      </c>
    </row>
    <row r="100" spans="1:15" s="236" customFormat="1" x14ac:dyDescent="0.3">
      <c r="A100" s="237" t="str">
        <f>name!E$10</f>
        <v>Sales and customer service occupations</v>
      </c>
      <c r="B100" s="302">
        <v>1.1833287189940866</v>
      </c>
      <c r="C100" s="302">
        <v>0.54732937599314457</v>
      </c>
      <c r="D100" s="302">
        <v>0.85352989185128847</v>
      </c>
      <c r="E100" s="302">
        <f t="shared" si="56"/>
        <v>2.5841879868385198</v>
      </c>
      <c r="F100" s="303"/>
      <c r="G100" s="302">
        <v>1.2582806673277724</v>
      </c>
      <c r="H100" s="302">
        <v>0.93383064657802695</v>
      </c>
      <c r="I100" s="302">
        <v>0.79344654828278804</v>
      </c>
      <c r="J100" s="302">
        <f t="shared" si="59"/>
        <v>2.9855578621885872</v>
      </c>
      <c r="K100" s="303"/>
      <c r="L100" s="302">
        <v>1.0313887588339319</v>
      </c>
      <c r="M100" s="302">
        <v>0.64201973655356803</v>
      </c>
      <c r="N100" s="302">
        <v>0.53871743862708465</v>
      </c>
      <c r="O100" s="302">
        <f t="shared" si="58"/>
        <v>2.2121259340145847</v>
      </c>
    </row>
    <row r="101" spans="1:15" s="236" customFormat="1" x14ac:dyDescent="0.3">
      <c r="A101" s="237" t="str">
        <f>name!E$11</f>
        <v>Process, plant and machine operatives</v>
      </c>
      <c r="B101" s="302">
        <v>9.3947667973878914</v>
      </c>
      <c r="C101" s="302">
        <v>1.8345339294597154</v>
      </c>
      <c r="D101" s="302">
        <v>2.0238052091201011</v>
      </c>
      <c r="E101" s="302">
        <f t="shared" si="56"/>
        <v>13.253105935967707</v>
      </c>
      <c r="F101" s="303"/>
      <c r="G101" s="302">
        <v>8.2791908533974503</v>
      </c>
      <c r="H101" s="302">
        <v>2.7166003658331945</v>
      </c>
      <c r="I101" s="302">
        <v>2.0410059378344645</v>
      </c>
      <c r="J101" s="302">
        <f t="shared" si="59"/>
        <v>13.036797157065109</v>
      </c>
      <c r="K101" s="303"/>
      <c r="L101" s="302">
        <v>6.8065646918349536</v>
      </c>
      <c r="M101" s="302">
        <v>2.6470750212115939</v>
      </c>
      <c r="N101" s="302">
        <v>1.4624865112601801</v>
      </c>
      <c r="O101" s="302">
        <f t="shared" si="58"/>
        <v>10.916126224306726</v>
      </c>
    </row>
    <row r="102" spans="1:15" s="236" customFormat="1" x14ac:dyDescent="0.3">
      <c r="A102" s="237" t="str">
        <f>name!E$12</f>
        <v>Elementary occupations</v>
      </c>
      <c r="B102" s="302">
        <v>2.6540611595827666</v>
      </c>
      <c r="C102" s="302">
        <v>0.79744474061372561</v>
      </c>
      <c r="D102" s="302">
        <v>1.6560147991988969</v>
      </c>
      <c r="E102" s="302">
        <f t="shared" si="56"/>
        <v>5.1075206993953888</v>
      </c>
      <c r="F102" s="303"/>
      <c r="G102" s="302">
        <v>2.4683396583875257</v>
      </c>
      <c r="H102" s="302">
        <v>1.3206821874748986</v>
      </c>
      <c r="I102" s="302">
        <v>1.321577338594921</v>
      </c>
      <c r="J102" s="302">
        <f t="shared" si="59"/>
        <v>5.110599184457346</v>
      </c>
      <c r="K102" s="303"/>
      <c r="L102" s="302">
        <v>1.3180904810193688</v>
      </c>
      <c r="M102" s="302">
        <v>0.75225204918921529</v>
      </c>
      <c r="N102" s="302">
        <v>1.2631933336987389</v>
      </c>
      <c r="O102" s="302">
        <f t="shared" si="58"/>
        <v>3.3335358639073229</v>
      </c>
    </row>
    <row r="103" spans="1:15" s="236" customFormat="1" x14ac:dyDescent="0.3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3">
      <c r="A104" s="244" t="s">
        <v>32</v>
      </c>
      <c r="B104" s="311">
        <f>SUM(B94:B102)</f>
        <v>32.975999999948641</v>
      </c>
      <c r="C104" s="311">
        <f t="shared" ref="C104:E104" si="60">SUM(C94:C102)</f>
        <v>5.1570000001121619</v>
      </c>
      <c r="D104" s="311">
        <f t="shared" si="60"/>
        <v>11.325000000122515</v>
      </c>
      <c r="E104" s="311">
        <f t="shared" si="60"/>
        <v>49.458000000183318</v>
      </c>
      <c r="F104" s="311"/>
      <c r="G104" s="311">
        <f t="shared" ref="G104:J104" si="61">SUM(G94:G102)</f>
        <v>35.690999999948218</v>
      </c>
      <c r="H104" s="311">
        <f t="shared" si="61"/>
        <v>8.7310000001095887</v>
      </c>
      <c r="I104" s="311">
        <f t="shared" si="61"/>
        <v>12.398999999944056</v>
      </c>
      <c r="J104" s="311">
        <f t="shared" si="61"/>
        <v>56.82100000000186</v>
      </c>
      <c r="K104" s="311"/>
      <c r="L104" s="311">
        <f t="shared" ref="L104:O104" si="62">SUM(L94:L102)</f>
        <v>27.304000000018156</v>
      </c>
      <c r="M104" s="311">
        <f t="shared" si="62"/>
        <v>6.5659999999789402</v>
      </c>
      <c r="N104" s="311">
        <f t="shared" si="62"/>
        <v>9.1140000000705488</v>
      </c>
      <c r="O104" s="311">
        <f t="shared" si="62"/>
        <v>42.984000000067645</v>
      </c>
    </row>
    <row r="105" spans="1:15" s="236" customFormat="1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3">
      <c r="A108" s="241" t="str">
        <f>name!A9</f>
        <v>Wearing apparel; Leather, etc</v>
      </c>
      <c r="B108" s="375">
        <f>$B$6</f>
        <v>2015</v>
      </c>
      <c r="C108" s="375"/>
      <c r="D108" s="375"/>
      <c r="E108" s="375"/>
      <c r="F108" s="263"/>
      <c r="G108" s="375">
        <f>$G$6</f>
        <v>2020</v>
      </c>
      <c r="H108" s="375"/>
      <c r="I108" s="375"/>
      <c r="J108" s="375"/>
      <c r="K108" s="263"/>
      <c r="L108" s="375">
        <f>$L$6</f>
        <v>2035</v>
      </c>
      <c r="M108" s="375"/>
      <c r="N108" s="375"/>
      <c r="O108" s="375"/>
    </row>
    <row r="109" spans="1:15" s="236" customFormat="1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3">
      <c r="A111" s="237" t="str">
        <f>name!E$4</f>
        <v>Managers, directors and senior officials</v>
      </c>
      <c r="B111" s="302">
        <v>3.3750964007528319</v>
      </c>
      <c r="C111" s="302">
        <v>0.42074410472725121</v>
      </c>
      <c r="D111" s="302">
        <v>1.0219882883013969</v>
      </c>
      <c r="E111" s="302">
        <f>SUM(B111:D111)</f>
        <v>4.8178287937814801</v>
      </c>
      <c r="F111" s="303"/>
      <c r="G111" s="302">
        <v>3.3864442998178843</v>
      </c>
      <c r="H111" s="302">
        <v>0.53650764001176632</v>
      </c>
      <c r="I111" s="302">
        <v>1.9535918764166207</v>
      </c>
      <c r="J111" s="302">
        <f>SUM(G111:I111)</f>
        <v>5.8765438162462713</v>
      </c>
      <c r="K111" s="303"/>
      <c r="L111" s="302">
        <v>2.6173423533590148</v>
      </c>
      <c r="M111" s="302">
        <v>0.41671938611149778</v>
      </c>
      <c r="N111" s="302">
        <v>1.476806519802877</v>
      </c>
      <c r="O111" s="302">
        <f>SUM(L111:N111)</f>
        <v>4.5108682592733897</v>
      </c>
    </row>
    <row r="112" spans="1:15" s="236" customFormat="1" x14ac:dyDescent="0.3">
      <c r="A112" s="237" t="str">
        <f>name!E$5</f>
        <v>Professional occupations</v>
      </c>
      <c r="B112" s="302">
        <v>3.7621992057245426</v>
      </c>
      <c r="C112" s="302">
        <v>0.30609357557986855</v>
      </c>
      <c r="D112" s="302">
        <v>0.49766676645417396</v>
      </c>
      <c r="E112" s="302">
        <f t="shared" ref="E112:E119" si="63">SUM(B112:D112)</f>
        <v>4.5659595477585846</v>
      </c>
      <c r="F112" s="303"/>
      <c r="G112" s="302">
        <v>5.5768424824590923</v>
      </c>
      <c r="H112" s="302">
        <v>0.40629763350543774</v>
      </c>
      <c r="I112" s="302">
        <v>0.69897316888600491</v>
      </c>
      <c r="J112" s="302">
        <f t="shared" ref="J112:J114" si="64">SUM(G112:I112)</f>
        <v>6.6821132848505354</v>
      </c>
      <c r="K112" s="303"/>
      <c r="L112" s="302">
        <v>5.3571325870860615</v>
      </c>
      <c r="M112" s="302">
        <v>0.30214069959014944</v>
      </c>
      <c r="N112" s="302">
        <v>0.42030773249516212</v>
      </c>
      <c r="O112" s="302">
        <f t="shared" ref="O112:O119" si="65">SUM(L112:N112)</f>
        <v>6.0795810191713731</v>
      </c>
    </row>
    <row r="113" spans="1:15" s="236" customFormat="1" x14ac:dyDescent="0.3">
      <c r="A113" s="237" t="str">
        <f>name!E$6</f>
        <v>Associate professional occupations</v>
      </c>
      <c r="B113" s="302">
        <v>3.6608286077553971</v>
      </c>
      <c r="C113" s="302">
        <v>0.74310284990306175</v>
      </c>
      <c r="D113" s="302">
        <v>1.1651702077867703</v>
      </c>
      <c r="E113" s="302">
        <f t="shared" si="63"/>
        <v>5.5691016654452294</v>
      </c>
      <c r="F113" s="303"/>
      <c r="G113" s="302">
        <v>3.8975222850118421</v>
      </c>
      <c r="H113" s="302">
        <v>0.79584434662411097</v>
      </c>
      <c r="I113" s="302">
        <v>1.5129581514653583</v>
      </c>
      <c r="J113" s="302">
        <f t="shared" si="64"/>
        <v>6.2063247831013122</v>
      </c>
      <c r="K113" s="303"/>
      <c r="L113" s="302">
        <v>2.9939485175901335</v>
      </c>
      <c r="M113" s="302">
        <v>0.43135339783019222</v>
      </c>
      <c r="N113" s="302">
        <v>0.97858492621372872</v>
      </c>
      <c r="O113" s="302">
        <f t="shared" si="65"/>
        <v>4.403886841634054</v>
      </c>
    </row>
    <row r="114" spans="1:15" s="236" customFormat="1" x14ac:dyDescent="0.3">
      <c r="A114" s="237" t="str">
        <f>name!E$7</f>
        <v>Administrative and secretarial occupations</v>
      </c>
      <c r="B114" s="302">
        <v>4.5760598132968848</v>
      </c>
      <c r="C114" s="302">
        <v>1.0400730244129512</v>
      </c>
      <c r="D114" s="302">
        <v>0.26728342088817159</v>
      </c>
      <c r="E114" s="302">
        <f t="shared" si="63"/>
        <v>5.8834162585980074</v>
      </c>
      <c r="F114" s="303"/>
      <c r="G114" s="302">
        <v>4.0831075250745323</v>
      </c>
      <c r="H114" s="302">
        <v>0.87732125614613077</v>
      </c>
      <c r="I114" s="302">
        <v>0.39794622595697465</v>
      </c>
      <c r="J114" s="302">
        <f t="shared" si="64"/>
        <v>5.3583750071776386</v>
      </c>
      <c r="K114" s="303"/>
      <c r="L114" s="302">
        <v>2.8286900403702244</v>
      </c>
      <c r="M114" s="302">
        <v>0.54061594163191451</v>
      </c>
      <c r="N114" s="302">
        <v>0.46957195056779472</v>
      </c>
      <c r="O114" s="302">
        <f t="shared" si="65"/>
        <v>3.8388779325699338</v>
      </c>
    </row>
    <row r="115" spans="1:15" s="236" customFormat="1" x14ac:dyDescent="0.3">
      <c r="A115" s="237" t="str">
        <f>name!E$8</f>
        <v>Skilled trades occupations</v>
      </c>
      <c r="B115" s="302">
        <v>3.4224418465485464</v>
      </c>
      <c r="C115" s="302">
        <v>1.0860166580861585</v>
      </c>
      <c r="D115" s="302">
        <v>2.496524304503418</v>
      </c>
      <c r="E115" s="302">
        <f t="shared" si="63"/>
        <v>7.0049828091381228</v>
      </c>
      <c r="F115" s="303"/>
      <c r="G115" s="302">
        <v>2.7444422248692204</v>
      </c>
      <c r="H115" s="302">
        <v>0.82700433728926526</v>
      </c>
      <c r="I115" s="302">
        <v>3.3841305669368724</v>
      </c>
      <c r="J115" s="302">
        <f>SUM(G115:I115)</f>
        <v>6.9555771290953583</v>
      </c>
      <c r="K115" s="303"/>
      <c r="L115" s="302">
        <v>1.8073632484464437</v>
      </c>
      <c r="M115" s="302">
        <v>0.60580488756114081</v>
      </c>
      <c r="N115" s="302">
        <v>2.4490017053017787</v>
      </c>
      <c r="O115" s="302">
        <f t="shared" si="65"/>
        <v>4.8621698413093632</v>
      </c>
    </row>
    <row r="116" spans="1:15" s="236" customFormat="1" x14ac:dyDescent="0.3">
      <c r="A116" s="237" t="str">
        <f>name!E$9</f>
        <v>Caring, leisure and other service occupations</v>
      </c>
      <c r="B116" s="302">
        <v>1.0677572678944816</v>
      </c>
      <c r="C116" s="302">
        <v>0.29807106686303331</v>
      </c>
      <c r="D116" s="302">
        <v>0.21919075983417599</v>
      </c>
      <c r="E116" s="302">
        <f t="shared" si="63"/>
        <v>1.5850190945916909</v>
      </c>
      <c r="F116" s="303"/>
      <c r="G116" s="302">
        <v>1.5941439296793729</v>
      </c>
      <c r="H116" s="302">
        <v>0.21341086938505066</v>
      </c>
      <c r="I116" s="302">
        <v>0.39017801932404289</v>
      </c>
      <c r="J116" s="302">
        <f t="shared" ref="J116:J119" si="66">SUM(G116:I116)</f>
        <v>2.1977328183884666</v>
      </c>
      <c r="K116" s="303"/>
      <c r="L116" s="302">
        <v>1.5647883345702727</v>
      </c>
      <c r="M116" s="302">
        <v>0.17004814667640453</v>
      </c>
      <c r="N116" s="302">
        <v>0.36855970041922942</v>
      </c>
      <c r="O116" s="302">
        <f t="shared" si="65"/>
        <v>2.1033961816659068</v>
      </c>
    </row>
    <row r="117" spans="1:15" s="236" customFormat="1" x14ac:dyDescent="0.3">
      <c r="A117" s="237" t="str">
        <f>name!E$10</f>
        <v>Sales and customer service occupations</v>
      </c>
      <c r="B117" s="302">
        <v>1.2202712822441955</v>
      </c>
      <c r="C117" s="302">
        <v>1.0291073501724977</v>
      </c>
      <c r="D117" s="302">
        <v>0.1883770883028652</v>
      </c>
      <c r="E117" s="302">
        <f t="shared" si="63"/>
        <v>2.4377557207195584</v>
      </c>
      <c r="F117" s="303"/>
      <c r="G117" s="302">
        <v>1.1701569647321857</v>
      </c>
      <c r="H117" s="302">
        <v>0.70820379891441054</v>
      </c>
      <c r="I117" s="302">
        <v>0.21184211662699959</v>
      </c>
      <c r="J117" s="302">
        <f t="shared" si="66"/>
        <v>2.0902028802735959</v>
      </c>
      <c r="K117" s="303"/>
      <c r="L117" s="302">
        <v>0.98137461439672191</v>
      </c>
      <c r="M117" s="302">
        <v>0.50670310125325058</v>
      </c>
      <c r="N117" s="302">
        <v>0.14576178087882011</v>
      </c>
      <c r="O117" s="302">
        <f t="shared" si="65"/>
        <v>1.6338394965287926</v>
      </c>
    </row>
    <row r="118" spans="1:15" s="236" customFormat="1" x14ac:dyDescent="0.3">
      <c r="A118" s="237" t="str">
        <f>name!E$11</f>
        <v>Process, plant and machine operatives</v>
      </c>
      <c r="B118" s="302">
        <v>5.9966411643148083</v>
      </c>
      <c r="C118" s="302">
        <v>2.8928707279545094</v>
      </c>
      <c r="D118" s="302">
        <v>0.87599050888825081</v>
      </c>
      <c r="E118" s="302">
        <f t="shared" si="63"/>
        <v>9.7655024011575691</v>
      </c>
      <c r="F118" s="303"/>
      <c r="G118" s="302">
        <v>3.569115326893646</v>
      </c>
      <c r="H118" s="302">
        <v>3.0297684240783398</v>
      </c>
      <c r="I118" s="302">
        <v>1.2885603603485283</v>
      </c>
      <c r="J118" s="302">
        <f t="shared" si="66"/>
        <v>7.887444111320514</v>
      </c>
      <c r="K118" s="303"/>
      <c r="L118" s="302">
        <v>2.4961807795494293</v>
      </c>
      <c r="M118" s="302">
        <v>2.7574572288628385</v>
      </c>
      <c r="N118" s="302">
        <v>1.1467493298492337</v>
      </c>
      <c r="O118" s="302">
        <f t="shared" si="65"/>
        <v>6.4003873382615017</v>
      </c>
    </row>
    <row r="119" spans="1:15" s="236" customFormat="1" x14ac:dyDescent="0.3">
      <c r="A119" s="237" t="str">
        <f>name!E$12</f>
        <v>Elementary occupations</v>
      </c>
      <c r="B119" s="302">
        <v>4.4427044114743444</v>
      </c>
      <c r="C119" s="302">
        <v>1.3019206425593683</v>
      </c>
      <c r="D119" s="302">
        <v>1.0468086551465703</v>
      </c>
      <c r="E119" s="302">
        <f t="shared" si="63"/>
        <v>6.791433709180283</v>
      </c>
      <c r="F119" s="303"/>
      <c r="G119" s="302">
        <v>3.4892249614532176</v>
      </c>
      <c r="H119" s="302">
        <v>1.4086416942121911</v>
      </c>
      <c r="I119" s="302">
        <v>1.126819513890609</v>
      </c>
      <c r="J119" s="302">
        <f t="shared" si="66"/>
        <v>6.0246861695560181</v>
      </c>
      <c r="K119" s="303"/>
      <c r="L119" s="302">
        <v>2.0321795247135905</v>
      </c>
      <c r="M119" s="302">
        <v>0.80915721043800248</v>
      </c>
      <c r="N119" s="302">
        <v>0.95565635451947328</v>
      </c>
      <c r="O119" s="302">
        <f t="shared" si="65"/>
        <v>3.7969930896710662</v>
      </c>
    </row>
    <row r="120" spans="1:15" s="236" customFormat="1" x14ac:dyDescent="0.3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3">
      <c r="A121" s="244" t="s">
        <v>32</v>
      </c>
      <c r="B121" s="311">
        <f>SUM(B111:B119)</f>
        <v>31.524000000006033</v>
      </c>
      <c r="C121" s="311">
        <f t="shared" ref="C121:E121" si="67">SUM(C111:C119)</f>
        <v>9.1180000002587001</v>
      </c>
      <c r="D121" s="311">
        <f t="shared" si="67"/>
        <v>7.7790000001057935</v>
      </c>
      <c r="E121" s="311">
        <f t="shared" si="67"/>
        <v>48.421000000370526</v>
      </c>
      <c r="F121" s="311"/>
      <c r="G121" s="311">
        <f t="shared" ref="G121:J121" si="68">SUM(G111:G119)</f>
        <v>29.510999999990993</v>
      </c>
      <c r="H121" s="311">
        <f t="shared" si="68"/>
        <v>8.803000000166703</v>
      </c>
      <c r="I121" s="311">
        <f t="shared" si="68"/>
        <v>10.964999999852012</v>
      </c>
      <c r="J121" s="311">
        <f t="shared" si="68"/>
        <v>49.279000000009709</v>
      </c>
      <c r="K121" s="311"/>
      <c r="L121" s="311">
        <f t="shared" ref="L121:O121" si="69">SUM(L111:L119)</f>
        <v>22.679000000081892</v>
      </c>
      <c r="M121" s="311">
        <f t="shared" si="69"/>
        <v>6.5399999999553913</v>
      </c>
      <c r="N121" s="311">
        <f t="shared" si="69"/>
        <v>8.4110000000480998</v>
      </c>
      <c r="O121" s="311">
        <f t="shared" si="69"/>
        <v>37.630000000085381</v>
      </c>
    </row>
    <row r="122" spans="1:15" s="236" customFormat="1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3">
      <c r="A125" s="241" t="str">
        <f>name!A10</f>
        <v xml:space="preserve">Wood and cork </v>
      </c>
      <c r="B125" s="375">
        <f>$B$6</f>
        <v>2015</v>
      </c>
      <c r="C125" s="375"/>
      <c r="D125" s="375"/>
      <c r="E125" s="375"/>
      <c r="F125" s="263"/>
      <c r="G125" s="375">
        <f>$G$6</f>
        <v>2020</v>
      </c>
      <c r="H125" s="375"/>
      <c r="I125" s="375"/>
      <c r="J125" s="375"/>
      <c r="K125" s="263"/>
      <c r="L125" s="375">
        <f>$L$6</f>
        <v>2035</v>
      </c>
      <c r="M125" s="375"/>
      <c r="N125" s="375"/>
      <c r="O125" s="375"/>
    </row>
    <row r="126" spans="1:15" s="236" customFormat="1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3">
      <c r="A128" s="237" t="str">
        <f>name!E$4</f>
        <v>Managers, directors and senior officials</v>
      </c>
      <c r="B128" s="302">
        <v>4.1891265534700439</v>
      </c>
      <c r="C128" s="302">
        <v>0.35394854540402937</v>
      </c>
      <c r="D128" s="302">
        <v>0.87721403177015589</v>
      </c>
      <c r="E128" s="302">
        <f>SUM(B128:D128)</f>
        <v>5.4202891306442291</v>
      </c>
      <c r="F128" s="303"/>
      <c r="G128" s="302">
        <v>6.2898109719803887</v>
      </c>
      <c r="H128" s="302">
        <v>0.6687291900741188</v>
      </c>
      <c r="I128" s="302">
        <v>1.9393629553514762</v>
      </c>
      <c r="J128" s="302">
        <f>SUM(G128:I128)</f>
        <v>8.8979031174059848</v>
      </c>
      <c r="K128" s="303"/>
      <c r="L128" s="302">
        <v>6.3726586512967671</v>
      </c>
      <c r="M128" s="302">
        <v>0.83964494505431664</v>
      </c>
      <c r="N128" s="302">
        <v>1.8225629329156623</v>
      </c>
      <c r="O128" s="302">
        <f>SUM(L128:N128)</f>
        <v>9.0348665292667452</v>
      </c>
    </row>
    <row r="129" spans="1:15" s="236" customFormat="1" x14ac:dyDescent="0.3">
      <c r="A129" s="237" t="str">
        <f>name!E$5</f>
        <v>Professional occupations</v>
      </c>
      <c r="B129" s="302">
        <v>3.1262937465203628</v>
      </c>
      <c r="C129" s="302">
        <v>0.25190387348561244</v>
      </c>
      <c r="D129" s="302">
        <v>0.27858355822327902</v>
      </c>
      <c r="E129" s="302">
        <f t="shared" ref="E129:E136" si="70">SUM(B129:D129)</f>
        <v>3.6567811782292541</v>
      </c>
      <c r="F129" s="303"/>
      <c r="G129" s="302">
        <v>5.397760195974171</v>
      </c>
      <c r="H129" s="302">
        <v>0.36760645840325373</v>
      </c>
      <c r="I129" s="302">
        <v>0.52049140871185018</v>
      </c>
      <c r="J129" s="302">
        <f t="shared" ref="J129:J131" si="71">SUM(G129:I129)</f>
        <v>6.2858580630892744</v>
      </c>
      <c r="K129" s="303"/>
      <c r="L129" s="302">
        <v>6.5359423323795545</v>
      </c>
      <c r="M129" s="302">
        <v>0.38487118555161998</v>
      </c>
      <c r="N129" s="302">
        <v>0.40366596557457557</v>
      </c>
      <c r="O129" s="302">
        <f t="shared" ref="O129:O136" si="72">SUM(L129:N129)</f>
        <v>7.3244794835057494</v>
      </c>
    </row>
    <row r="130" spans="1:15" s="236" customFormat="1" x14ac:dyDescent="0.3">
      <c r="A130" s="237" t="str">
        <f>name!E$6</f>
        <v>Associate professional occupations</v>
      </c>
      <c r="B130" s="302">
        <v>4.3602791805632553</v>
      </c>
      <c r="C130" s="302">
        <v>0.35047803726462062</v>
      </c>
      <c r="D130" s="302">
        <v>0.23293455564987528</v>
      </c>
      <c r="E130" s="302">
        <f t="shared" si="70"/>
        <v>4.9436917734777515</v>
      </c>
      <c r="F130" s="303"/>
      <c r="G130" s="302">
        <v>6.7447969714337743</v>
      </c>
      <c r="H130" s="302">
        <v>0.47209653463875073</v>
      </c>
      <c r="I130" s="302">
        <v>0.44642599443828862</v>
      </c>
      <c r="J130" s="302">
        <f t="shared" si="71"/>
        <v>7.6633195005108137</v>
      </c>
      <c r="K130" s="303"/>
      <c r="L130" s="302">
        <v>6.4753434518828996</v>
      </c>
      <c r="M130" s="302">
        <v>0.4096795727282167</v>
      </c>
      <c r="N130" s="302">
        <v>0.38141732631596198</v>
      </c>
      <c r="O130" s="302">
        <f t="shared" si="72"/>
        <v>7.2664403509270779</v>
      </c>
    </row>
    <row r="131" spans="1:15" s="236" customFormat="1" x14ac:dyDescent="0.3">
      <c r="A131" s="237" t="str">
        <f>name!E$7</f>
        <v>Administrative and secretarial occupations</v>
      </c>
      <c r="B131" s="302">
        <v>2.2693321343415205</v>
      </c>
      <c r="C131" s="302">
        <v>2.9531382492763751</v>
      </c>
      <c r="D131" s="302">
        <v>9.9546760127898537E-2</v>
      </c>
      <c r="E131" s="302">
        <f t="shared" si="70"/>
        <v>5.3220171437457946</v>
      </c>
      <c r="F131" s="303"/>
      <c r="G131" s="302">
        <v>2.9283498601784657</v>
      </c>
      <c r="H131" s="302">
        <v>1.8148462601568247</v>
      </c>
      <c r="I131" s="302">
        <v>0.14711730456153518</v>
      </c>
      <c r="J131" s="302">
        <f t="shared" si="71"/>
        <v>4.8903134248968252</v>
      </c>
      <c r="K131" s="303"/>
      <c r="L131" s="302">
        <v>2.4330736494103151</v>
      </c>
      <c r="M131" s="302">
        <v>1.3919752423767651</v>
      </c>
      <c r="N131" s="302">
        <v>0.13576721849541851</v>
      </c>
      <c r="O131" s="302">
        <f t="shared" si="72"/>
        <v>3.960816110282499</v>
      </c>
    </row>
    <row r="132" spans="1:15" s="236" customFormat="1" x14ac:dyDescent="0.3">
      <c r="A132" s="237" t="str">
        <f>name!E$8</f>
        <v>Skilled trades occupations</v>
      </c>
      <c r="B132" s="302">
        <v>16.344283206938176</v>
      </c>
      <c r="C132" s="302">
        <v>0.89311626683351841</v>
      </c>
      <c r="D132" s="302">
        <v>6.003864215916928</v>
      </c>
      <c r="E132" s="302">
        <f t="shared" si="70"/>
        <v>23.241263689688623</v>
      </c>
      <c r="F132" s="303"/>
      <c r="G132" s="302">
        <v>15.359135269718671</v>
      </c>
      <c r="H132" s="302">
        <v>0.86783041604902256</v>
      </c>
      <c r="I132" s="302">
        <v>7.3520602686374632</v>
      </c>
      <c r="J132" s="302">
        <f>SUM(G132:I132)</f>
        <v>23.579025954405157</v>
      </c>
      <c r="K132" s="303"/>
      <c r="L132" s="302">
        <v>13.41245713234937</v>
      </c>
      <c r="M132" s="302">
        <v>1.132920803761525</v>
      </c>
      <c r="N132" s="302">
        <v>6.1656549313188984</v>
      </c>
      <c r="O132" s="302">
        <f t="shared" si="72"/>
        <v>20.711032867429793</v>
      </c>
    </row>
    <row r="133" spans="1:15" s="236" customFormat="1" x14ac:dyDescent="0.3">
      <c r="A133" s="237" t="str">
        <f>name!E$9</f>
        <v>Caring, leisure and other service occupations</v>
      </c>
      <c r="B133" s="302">
        <v>0.57785035723934042</v>
      </c>
      <c r="C133" s="302">
        <v>0.29943683626386164</v>
      </c>
      <c r="D133" s="302">
        <v>0.18262379410989626</v>
      </c>
      <c r="E133" s="302">
        <f t="shared" si="70"/>
        <v>1.0599109876130983</v>
      </c>
      <c r="F133" s="303"/>
      <c r="G133" s="302">
        <v>0.72233705667699333</v>
      </c>
      <c r="H133" s="302">
        <v>0.43254347066152943</v>
      </c>
      <c r="I133" s="302">
        <v>0.32589547305923272</v>
      </c>
      <c r="J133" s="302">
        <f t="shared" ref="J133:J136" si="73">SUM(G133:I133)</f>
        <v>1.4807760003977555</v>
      </c>
      <c r="K133" s="303"/>
      <c r="L133" s="302">
        <v>0.84946645862676062</v>
      </c>
      <c r="M133" s="302">
        <v>0.53708402606471639</v>
      </c>
      <c r="N133" s="302">
        <v>0.47717690626828219</v>
      </c>
      <c r="O133" s="302">
        <f t="shared" si="72"/>
        <v>1.8637273909597591</v>
      </c>
    </row>
    <row r="134" spans="1:15" s="236" customFormat="1" x14ac:dyDescent="0.3">
      <c r="A134" s="237" t="str">
        <f>name!E$10</f>
        <v>Sales and customer service occupations</v>
      </c>
      <c r="B134" s="302">
        <v>1.1513714151619987</v>
      </c>
      <c r="C134" s="302">
        <v>0.63432805868017783</v>
      </c>
      <c r="D134" s="302">
        <v>0.15690164247379967</v>
      </c>
      <c r="E134" s="302">
        <f t="shared" si="70"/>
        <v>1.9426011163159762</v>
      </c>
      <c r="F134" s="303"/>
      <c r="G134" s="302">
        <v>1.2578061478190257</v>
      </c>
      <c r="H134" s="302">
        <v>0.48653568540799652</v>
      </c>
      <c r="I134" s="302">
        <v>0.22694624991267059</v>
      </c>
      <c r="J134" s="302">
        <f t="shared" si="73"/>
        <v>1.9712880831396928</v>
      </c>
      <c r="K134" s="303"/>
      <c r="L134" s="302">
        <v>1.2729264389063075</v>
      </c>
      <c r="M134" s="302">
        <v>0.51044686290110919</v>
      </c>
      <c r="N134" s="302">
        <v>0.14856760859452028</v>
      </c>
      <c r="O134" s="302">
        <f t="shared" si="72"/>
        <v>1.9319409104019369</v>
      </c>
    </row>
    <row r="135" spans="1:15" s="236" customFormat="1" x14ac:dyDescent="0.3">
      <c r="A135" s="237" t="str">
        <f>name!E$11</f>
        <v>Process, plant and machine operatives</v>
      </c>
      <c r="B135" s="302">
        <v>13.542460112269946</v>
      </c>
      <c r="C135" s="302">
        <v>0.83871384242609681</v>
      </c>
      <c r="D135" s="302">
        <v>0.74413560505178333</v>
      </c>
      <c r="E135" s="302">
        <f t="shared" si="70"/>
        <v>15.125309559747826</v>
      </c>
      <c r="F135" s="303"/>
      <c r="G135" s="302">
        <v>13.162758884023861</v>
      </c>
      <c r="H135" s="302">
        <v>1.1233777979896731</v>
      </c>
      <c r="I135" s="302">
        <v>1.4355269560831385</v>
      </c>
      <c r="J135" s="302">
        <f t="shared" si="73"/>
        <v>15.721663638096674</v>
      </c>
      <c r="K135" s="303"/>
      <c r="L135" s="302">
        <v>13.778315905829491</v>
      </c>
      <c r="M135" s="302">
        <v>1.3226018972712945</v>
      </c>
      <c r="N135" s="302">
        <v>1.5350098514796409</v>
      </c>
      <c r="O135" s="302">
        <f t="shared" si="72"/>
        <v>16.635927654580424</v>
      </c>
    </row>
    <row r="136" spans="1:15" s="236" customFormat="1" x14ac:dyDescent="0.3">
      <c r="A136" s="237" t="str">
        <f>name!E$12</f>
        <v>Elementary occupations</v>
      </c>
      <c r="B136" s="302">
        <v>3.1320032934444617</v>
      </c>
      <c r="C136" s="302">
        <v>0.82493629046055539</v>
      </c>
      <c r="D136" s="302">
        <v>1.6891958365148056</v>
      </c>
      <c r="E136" s="302">
        <f t="shared" si="70"/>
        <v>5.6461354204198226</v>
      </c>
      <c r="F136" s="303"/>
      <c r="G136" s="302">
        <v>3.0192446423017909</v>
      </c>
      <c r="H136" s="302">
        <v>0.76743418666197094</v>
      </c>
      <c r="I136" s="302">
        <v>2.4351733889861178</v>
      </c>
      <c r="J136" s="302">
        <f t="shared" si="73"/>
        <v>6.2218522179498796</v>
      </c>
      <c r="K136" s="303"/>
      <c r="L136" s="302">
        <v>1.8948159796558171</v>
      </c>
      <c r="M136" s="302">
        <v>0.54277546429567558</v>
      </c>
      <c r="N136" s="302">
        <v>2.3351772585819188</v>
      </c>
      <c r="O136" s="302">
        <f t="shared" si="72"/>
        <v>4.772768702533412</v>
      </c>
    </row>
    <row r="137" spans="1:15" s="236" customFormat="1" x14ac:dyDescent="0.3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3">
      <c r="A138" s="244" t="s">
        <v>32</v>
      </c>
      <c r="B138" s="311">
        <f>SUM(B128:B136)</f>
        <v>48.692999999949102</v>
      </c>
      <c r="C138" s="311">
        <f t="shared" ref="C138:E138" si="74">SUM(C128:C136)</f>
        <v>7.4000000000948489</v>
      </c>
      <c r="D138" s="311">
        <f t="shared" si="74"/>
        <v>10.264999999838421</v>
      </c>
      <c r="E138" s="311">
        <f t="shared" si="74"/>
        <v>66.357999999882381</v>
      </c>
      <c r="F138" s="311"/>
      <c r="G138" s="311">
        <f t="shared" ref="G138:J138" si="75">SUM(G128:G136)</f>
        <v>54.882000000107134</v>
      </c>
      <c r="H138" s="311">
        <f t="shared" si="75"/>
        <v>7.0010000000431409</v>
      </c>
      <c r="I138" s="311">
        <f t="shared" si="75"/>
        <v>14.828999999741775</v>
      </c>
      <c r="J138" s="311">
        <f t="shared" si="75"/>
        <v>76.711999999892043</v>
      </c>
      <c r="K138" s="311"/>
      <c r="L138" s="311">
        <f t="shared" ref="L138:O138" si="76">SUM(L128:L136)</f>
        <v>53.025000000337286</v>
      </c>
      <c r="M138" s="311">
        <f t="shared" si="76"/>
        <v>7.0720000000052385</v>
      </c>
      <c r="N138" s="311">
        <f t="shared" si="76"/>
        <v>13.404999999544879</v>
      </c>
      <c r="O138" s="311">
        <f t="shared" si="76"/>
        <v>73.501999999887389</v>
      </c>
    </row>
    <row r="139" spans="1:15" s="236" customFormat="1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3">
      <c r="A142" s="241" t="str">
        <f>name!A11</f>
        <v>Paper, etc</v>
      </c>
      <c r="B142" s="375">
        <f>$B$6</f>
        <v>2015</v>
      </c>
      <c r="C142" s="375"/>
      <c r="D142" s="375"/>
      <c r="E142" s="375"/>
      <c r="F142" s="263"/>
      <c r="G142" s="375">
        <f>$G$6</f>
        <v>2020</v>
      </c>
      <c r="H142" s="375"/>
      <c r="I142" s="375"/>
      <c r="J142" s="375"/>
      <c r="K142" s="263"/>
      <c r="L142" s="375">
        <f>$L$6</f>
        <v>2035</v>
      </c>
      <c r="M142" s="375"/>
      <c r="N142" s="375"/>
      <c r="O142" s="375"/>
    </row>
    <row r="143" spans="1:15" s="236" customFormat="1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3">
      <c r="A145" s="237" t="str">
        <f>name!E$4</f>
        <v>Managers, directors and senior officials</v>
      </c>
      <c r="B145" s="302">
        <v>5.003315240795934</v>
      </c>
      <c r="C145" s="302">
        <v>0.16991865969338199</v>
      </c>
      <c r="D145" s="302">
        <v>2.3083022086908125</v>
      </c>
      <c r="E145" s="302">
        <f>SUM(B145:D145)</f>
        <v>7.4815361091801282</v>
      </c>
      <c r="F145" s="303"/>
      <c r="G145" s="302">
        <v>5.4908960993537539</v>
      </c>
      <c r="H145" s="302">
        <v>0.19253761505936165</v>
      </c>
      <c r="I145" s="302">
        <v>0.21413904062095218</v>
      </c>
      <c r="J145" s="302">
        <f>SUM(G145:I145)</f>
        <v>5.8975727550340675</v>
      </c>
      <c r="K145" s="303"/>
      <c r="L145" s="302">
        <v>5.8969080866331351</v>
      </c>
      <c r="M145" s="302">
        <v>0.24312925432611843</v>
      </c>
      <c r="N145" s="302">
        <v>0.28170939179780963</v>
      </c>
      <c r="O145" s="302">
        <f>SUM(L145:N145)</f>
        <v>6.4217467327570628</v>
      </c>
    </row>
    <row r="146" spans="1:15" s="236" customFormat="1" x14ac:dyDescent="0.3">
      <c r="A146" s="237" t="str">
        <f>name!E$5</f>
        <v>Professional occupations</v>
      </c>
      <c r="B146" s="302">
        <v>4.0987810832118168</v>
      </c>
      <c r="C146" s="302">
        <v>0.19580729246896805</v>
      </c>
      <c r="D146" s="302">
        <v>0.93336554432514696</v>
      </c>
      <c r="E146" s="302">
        <f t="shared" ref="E146:E153" si="77">SUM(B146:D146)</f>
        <v>5.2279539200059322</v>
      </c>
      <c r="F146" s="303"/>
      <c r="G146" s="302">
        <v>4.9783089312386926</v>
      </c>
      <c r="H146" s="302">
        <v>0.19455645138401584</v>
      </c>
      <c r="I146" s="302">
        <v>0.10800849998245272</v>
      </c>
      <c r="J146" s="302">
        <f t="shared" ref="J146:J148" si="78">SUM(G146:I146)</f>
        <v>5.2808738826051611</v>
      </c>
      <c r="K146" s="303"/>
      <c r="L146" s="302">
        <v>6.013496717407393</v>
      </c>
      <c r="M146" s="302">
        <v>0.26323375289671391</v>
      </c>
      <c r="N146" s="302">
        <v>0.11236700513893633</v>
      </c>
      <c r="O146" s="302">
        <f t="shared" ref="O146:O153" si="79">SUM(L146:N146)</f>
        <v>6.3890974754430436</v>
      </c>
    </row>
    <row r="147" spans="1:15" s="236" customFormat="1" x14ac:dyDescent="0.3">
      <c r="A147" s="237" t="str">
        <f>name!E$6</f>
        <v>Associate professional occupations</v>
      </c>
      <c r="B147" s="302">
        <v>4.3005070302641109</v>
      </c>
      <c r="C147" s="302">
        <v>0.47703438208412358</v>
      </c>
      <c r="D147" s="302">
        <v>1.2462064012523837</v>
      </c>
      <c r="E147" s="302">
        <f t="shared" si="77"/>
        <v>6.0237478136006182</v>
      </c>
      <c r="F147" s="303"/>
      <c r="G147" s="302">
        <v>4.9677967129089478</v>
      </c>
      <c r="H147" s="302">
        <v>0.38881027507077182</v>
      </c>
      <c r="I147" s="302">
        <v>0.25897828720399513</v>
      </c>
      <c r="J147" s="302">
        <f t="shared" si="78"/>
        <v>5.6155852751837143</v>
      </c>
      <c r="K147" s="303"/>
      <c r="L147" s="302">
        <v>5.0307002491370207</v>
      </c>
      <c r="M147" s="302">
        <v>0.36042936916210505</v>
      </c>
      <c r="N147" s="302">
        <v>0.31695637127976461</v>
      </c>
      <c r="O147" s="302">
        <f t="shared" si="79"/>
        <v>5.7080859895788905</v>
      </c>
    </row>
    <row r="148" spans="1:15" s="236" customFormat="1" x14ac:dyDescent="0.3">
      <c r="A148" s="237" t="str">
        <f>name!E$7</f>
        <v>Administrative and secretarial occupations</v>
      </c>
      <c r="B148" s="302">
        <v>2.2080595424018004</v>
      </c>
      <c r="C148" s="302">
        <v>0.92994385237299249</v>
      </c>
      <c r="D148" s="302">
        <v>0.2443236907366825</v>
      </c>
      <c r="E148" s="302">
        <f t="shared" si="77"/>
        <v>3.3823270855114753</v>
      </c>
      <c r="F148" s="303"/>
      <c r="G148" s="302">
        <v>2.26681693480359</v>
      </c>
      <c r="H148" s="302">
        <v>0.30200642082987394</v>
      </c>
      <c r="I148" s="302">
        <v>3.9894218509948995E-2</v>
      </c>
      <c r="J148" s="302">
        <f t="shared" si="78"/>
        <v>2.6087175741434132</v>
      </c>
      <c r="K148" s="303"/>
      <c r="L148" s="302">
        <v>1.995632886182267</v>
      </c>
      <c r="M148" s="302">
        <v>0.25340047468124305</v>
      </c>
      <c r="N148" s="302">
        <v>3.1808307295220002E-2</v>
      </c>
      <c r="O148" s="302">
        <f t="shared" si="79"/>
        <v>2.2808416681587302</v>
      </c>
    </row>
    <row r="149" spans="1:15" s="236" customFormat="1" x14ac:dyDescent="0.3">
      <c r="A149" s="237" t="str">
        <f>name!E$8</f>
        <v>Skilled trades occupations</v>
      </c>
      <c r="B149" s="302">
        <v>8.2594811462733659</v>
      </c>
      <c r="C149" s="302">
        <v>0.21786884099385848</v>
      </c>
      <c r="D149" s="302">
        <v>2.0280258289986728</v>
      </c>
      <c r="E149" s="302">
        <f t="shared" si="77"/>
        <v>10.505375816265897</v>
      </c>
      <c r="F149" s="303"/>
      <c r="G149" s="302">
        <v>6.0840159924657149</v>
      </c>
      <c r="H149" s="302">
        <v>0.13276107235568915</v>
      </c>
      <c r="I149" s="302">
        <v>0.11283488122089187</v>
      </c>
      <c r="J149" s="302">
        <f>SUM(G149:I149)</f>
        <v>6.3296119460422959</v>
      </c>
      <c r="K149" s="303"/>
      <c r="L149" s="302">
        <v>4.8238477233512302</v>
      </c>
      <c r="M149" s="302">
        <v>0.15548290937213829</v>
      </c>
      <c r="N149" s="302">
        <v>0.13614859019164452</v>
      </c>
      <c r="O149" s="302">
        <f t="shared" si="79"/>
        <v>5.1154792229150132</v>
      </c>
    </row>
    <row r="150" spans="1:15" s="236" customFormat="1" x14ac:dyDescent="0.3">
      <c r="A150" s="237" t="str">
        <f>name!E$9</f>
        <v>Caring, leisure and other service occupations</v>
      </c>
      <c r="B150" s="302">
        <v>0.48843247460546763</v>
      </c>
      <c r="C150" s="302">
        <v>0.16705743706656898</v>
      </c>
      <c r="D150" s="302">
        <v>5.3011635241276417E-2</v>
      </c>
      <c r="E150" s="302">
        <f t="shared" si="77"/>
        <v>0.70850154691331302</v>
      </c>
      <c r="F150" s="303"/>
      <c r="G150" s="302">
        <v>0.46746086537315684</v>
      </c>
      <c r="H150" s="302">
        <v>5.4951574602990411E-2</v>
      </c>
      <c r="I150" s="302">
        <v>3.4846362354264526E-2</v>
      </c>
      <c r="J150" s="302">
        <f t="shared" ref="J150:J153" si="80">SUM(G150:I150)</f>
        <v>0.55725880233041181</v>
      </c>
      <c r="K150" s="303"/>
      <c r="L150" s="302">
        <v>0.46184412488580029</v>
      </c>
      <c r="M150" s="302">
        <v>5.1038520818125398E-2</v>
      </c>
      <c r="N150" s="302">
        <v>3.3741949135867581E-2</v>
      </c>
      <c r="O150" s="302">
        <f t="shared" si="79"/>
        <v>0.54662459483979331</v>
      </c>
    </row>
    <row r="151" spans="1:15" s="236" customFormat="1" x14ac:dyDescent="0.3">
      <c r="A151" s="237" t="str">
        <f>name!E$10</f>
        <v>Sales and customer service occupations</v>
      </c>
      <c r="B151" s="302">
        <v>0.88587622952348355</v>
      </c>
      <c r="C151" s="302">
        <v>0.4036071022208097</v>
      </c>
      <c r="D151" s="302">
        <v>0.39626237587468943</v>
      </c>
      <c r="E151" s="302">
        <f t="shared" si="77"/>
        <v>1.6857457076189828</v>
      </c>
      <c r="F151" s="303"/>
      <c r="G151" s="302">
        <v>0.88315604936187697</v>
      </c>
      <c r="H151" s="302">
        <v>0.18255554122323539</v>
      </c>
      <c r="I151" s="302">
        <v>3.7102907079860262E-2</v>
      </c>
      <c r="J151" s="302">
        <f t="shared" si="80"/>
        <v>1.1028144976649727</v>
      </c>
      <c r="K151" s="303"/>
      <c r="L151" s="302">
        <v>1.0182218030416534</v>
      </c>
      <c r="M151" s="302">
        <v>0.18218008272024502</v>
      </c>
      <c r="N151" s="302">
        <v>4.0776965433978941E-2</v>
      </c>
      <c r="O151" s="302">
        <f t="shared" si="79"/>
        <v>1.2411788511958775</v>
      </c>
    </row>
    <row r="152" spans="1:15" s="236" customFormat="1" x14ac:dyDescent="0.3">
      <c r="A152" s="237" t="str">
        <f>name!E$11</f>
        <v>Process, plant and machine operatives</v>
      </c>
      <c r="B152" s="302">
        <v>12.890122197017286</v>
      </c>
      <c r="C152" s="302">
        <v>0.41809869421371831</v>
      </c>
      <c r="D152" s="302">
        <v>0.30218671710240641</v>
      </c>
      <c r="E152" s="302">
        <f t="shared" si="77"/>
        <v>13.610407608333411</v>
      </c>
      <c r="F152" s="303"/>
      <c r="G152" s="302">
        <v>9.3217848752324102</v>
      </c>
      <c r="H152" s="302">
        <v>0.29672257634559634</v>
      </c>
      <c r="I152" s="302">
        <v>5.2520663172029601E-2</v>
      </c>
      <c r="J152" s="302">
        <f t="shared" si="80"/>
        <v>9.671028114750035</v>
      </c>
      <c r="K152" s="303"/>
      <c r="L152" s="302">
        <v>8.6151007696319546</v>
      </c>
      <c r="M152" s="302">
        <v>0.34400426259807365</v>
      </c>
      <c r="N152" s="302">
        <v>8.5462847968543088E-2</v>
      </c>
      <c r="O152" s="302">
        <f t="shared" si="79"/>
        <v>9.0445678801985707</v>
      </c>
    </row>
    <row r="153" spans="1:15" s="236" customFormat="1" x14ac:dyDescent="0.3">
      <c r="A153" s="237" t="str">
        <f>name!E$12</f>
        <v>Elementary occupations</v>
      </c>
      <c r="B153" s="302">
        <v>4.5874250558563698</v>
      </c>
      <c r="C153" s="302">
        <v>1.1146637389589653</v>
      </c>
      <c r="D153" s="302">
        <v>0.55631559787828999</v>
      </c>
      <c r="E153" s="302">
        <f t="shared" si="77"/>
        <v>6.2584043926936248</v>
      </c>
      <c r="F153" s="303"/>
      <c r="G153" s="302">
        <v>3.5727635393235087</v>
      </c>
      <c r="H153" s="302">
        <v>0.64009847314467883</v>
      </c>
      <c r="I153" s="302">
        <v>0.12367513985097571</v>
      </c>
      <c r="J153" s="302">
        <f t="shared" si="80"/>
        <v>4.3365371523191634</v>
      </c>
      <c r="K153" s="303"/>
      <c r="L153" s="302">
        <v>2.3832476398414117</v>
      </c>
      <c r="M153" s="302">
        <v>0.54510137342461074</v>
      </c>
      <c r="N153" s="302">
        <v>0.13302857176954552</v>
      </c>
      <c r="O153" s="302">
        <f t="shared" si="79"/>
        <v>3.0613775850355678</v>
      </c>
    </row>
    <row r="154" spans="1:15" s="236" customFormat="1" x14ac:dyDescent="0.3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3">
      <c r="A155" s="244" t="s">
        <v>32</v>
      </c>
      <c r="B155" s="311">
        <f>SUM(B145:B153)</f>
        <v>42.721999999949631</v>
      </c>
      <c r="C155" s="311">
        <f t="shared" ref="C155:E155" si="81">SUM(C145:C153)</f>
        <v>4.0940000000733869</v>
      </c>
      <c r="D155" s="311">
        <f t="shared" si="81"/>
        <v>8.068000000100362</v>
      </c>
      <c r="E155" s="311">
        <f t="shared" si="81"/>
        <v>54.884000000123386</v>
      </c>
      <c r="F155" s="311"/>
      <c r="G155" s="311">
        <f t="shared" ref="G155:J155" si="82">SUM(G145:G153)</f>
        <v>38.033000000061655</v>
      </c>
      <c r="H155" s="311">
        <f t="shared" si="82"/>
        <v>2.3850000000162135</v>
      </c>
      <c r="I155" s="311">
        <f t="shared" si="82"/>
        <v>0.98199999999537113</v>
      </c>
      <c r="J155" s="311">
        <f t="shared" si="82"/>
        <v>41.400000000073234</v>
      </c>
      <c r="K155" s="311"/>
      <c r="L155" s="311">
        <f t="shared" ref="L155:O155" si="83">SUM(L145:L153)</f>
        <v>36.239000000111872</v>
      </c>
      <c r="M155" s="311">
        <f t="shared" si="83"/>
        <v>2.397999999999374</v>
      </c>
      <c r="N155" s="311">
        <f t="shared" si="83"/>
        <v>1.1720000000113102</v>
      </c>
      <c r="O155" s="311">
        <f t="shared" si="83"/>
        <v>39.809000000122545</v>
      </c>
    </row>
    <row r="156" spans="1:15" s="236" customFormat="1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3">
      <c r="A159" s="241" t="str">
        <f>name!A12</f>
        <v>Printing and recording</v>
      </c>
      <c r="B159" s="375">
        <f>$B$6</f>
        <v>2015</v>
      </c>
      <c r="C159" s="375"/>
      <c r="D159" s="375"/>
      <c r="E159" s="375"/>
      <c r="F159" s="263"/>
      <c r="G159" s="375">
        <f>$G$6</f>
        <v>2020</v>
      </c>
      <c r="H159" s="375"/>
      <c r="I159" s="375"/>
      <c r="J159" s="375"/>
      <c r="K159" s="263"/>
      <c r="L159" s="375">
        <f>$L$6</f>
        <v>2035</v>
      </c>
      <c r="M159" s="375"/>
      <c r="N159" s="375"/>
      <c r="O159" s="375"/>
    </row>
    <row r="160" spans="1:15" s="236" customFormat="1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3">
      <c r="A162" s="237" t="str">
        <f>name!E$4</f>
        <v>Managers, directors and senior officials</v>
      </c>
      <c r="B162" s="302">
        <v>16.438849172085973</v>
      </c>
      <c r="C162" s="302">
        <v>0.48808334268933912</v>
      </c>
      <c r="D162" s="302">
        <v>3.1192107332170784</v>
      </c>
      <c r="E162" s="302">
        <f>SUM(B162:D162)</f>
        <v>20.04614324799239</v>
      </c>
      <c r="F162" s="303"/>
      <c r="G162" s="302">
        <v>12.925511211577422</v>
      </c>
      <c r="H162" s="302">
        <v>1.0556576210670305</v>
      </c>
      <c r="I162" s="302">
        <v>1.2844371744297105</v>
      </c>
      <c r="J162" s="302">
        <f>SUM(G162:I162)</f>
        <v>15.265606007074163</v>
      </c>
      <c r="K162" s="303"/>
      <c r="L162" s="302">
        <v>10.46466850462239</v>
      </c>
      <c r="M162" s="302">
        <v>1.1342620817613005</v>
      </c>
      <c r="N162" s="302">
        <v>1.2058070987339073</v>
      </c>
      <c r="O162" s="302">
        <f>SUM(L162:N162)</f>
        <v>12.804737685117598</v>
      </c>
    </row>
    <row r="163" spans="1:15" s="236" customFormat="1" x14ac:dyDescent="0.3">
      <c r="A163" s="237" t="str">
        <f>name!E$5</f>
        <v>Professional occupations</v>
      </c>
      <c r="B163" s="302">
        <v>13.448349333368816</v>
      </c>
      <c r="C163" s="302">
        <v>0.84578159725365221</v>
      </c>
      <c r="D163" s="302">
        <v>1.9043079579609705</v>
      </c>
      <c r="E163" s="302">
        <f t="shared" ref="E163:E170" si="84">SUM(B163:D163)</f>
        <v>16.198438888583439</v>
      </c>
      <c r="F163" s="303"/>
      <c r="G163" s="302">
        <v>11.796489645997811</v>
      </c>
      <c r="H163" s="302">
        <v>1.3089641712980042</v>
      </c>
      <c r="I163" s="302">
        <v>0.8467974164937182</v>
      </c>
      <c r="J163" s="302">
        <f t="shared" ref="J163:J165" si="85">SUM(G163:I163)</f>
        <v>13.952251233789534</v>
      </c>
      <c r="K163" s="303"/>
      <c r="L163" s="302">
        <v>10.637464613172488</v>
      </c>
      <c r="M163" s="302">
        <v>1.3657700454254389</v>
      </c>
      <c r="N163" s="302">
        <v>0.59504233966087161</v>
      </c>
      <c r="O163" s="302">
        <f t="shared" ref="O163:O170" si="86">SUM(L163:N163)</f>
        <v>12.598276998258799</v>
      </c>
    </row>
    <row r="164" spans="1:15" s="236" customFormat="1" x14ac:dyDescent="0.3">
      <c r="A164" s="237" t="str">
        <f>name!E$6</f>
        <v>Associate professional occupations</v>
      </c>
      <c r="B164" s="302">
        <v>16.186292251312278</v>
      </c>
      <c r="C164" s="302">
        <v>2.1039231594165186</v>
      </c>
      <c r="D164" s="302">
        <v>4.8913902625451344</v>
      </c>
      <c r="E164" s="302">
        <f t="shared" si="84"/>
        <v>23.181605673273928</v>
      </c>
      <c r="F164" s="303"/>
      <c r="G164" s="302">
        <v>13.049417575579017</v>
      </c>
      <c r="H164" s="302">
        <v>2.6496012068905621</v>
      </c>
      <c r="I164" s="302">
        <v>2.5189103311868313</v>
      </c>
      <c r="J164" s="302">
        <f t="shared" si="85"/>
        <v>18.21792911365641</v>
      </c>
      <c r="K164" s="303"/>
      <c r="L164" s="302">
        <v>10.456992583586143</v>
      </c>
      <c r="M164" s="302">
        <v>2.1880903317488403</v>
      </c>
      <c r="N164" s="302">
        <v>2.0481347637962335</v>
      </c>
      <c r="O164" s="302">
        <f t="shared" si="86"/>
        <v>14.693217679131216</v>
      </c>
    </row>
    <row r="165" spans="1:15" s="236" customFormat="1" x14ac:dyDescent="0.3">
      <c r="A165" s="237" t="str">
        <f>name!E$7</f>
        <v>Administrative and secretarial occupations</v>
      </c>
      <c r="B165" s="302">
        <v>6.2976815404450539</v>
      </c>
      <c r="C165" s="302">
        <v>2.7920557175537271</v>
      </c>
      <c r="D165" s="302">
        <v>0.55438439764323322</v>
      </c>
      <c r="E165" s="302">
        <f t="shared" si="84"/>
        <v>9.6441216556420137</v>
      </c>
      <c r="F165" s="303"/>
      <c r="G165" s="302">
        <v>4.4878236509102347</v>
      </c>
      <c r="H165" s="302">
        <v>2.5020120565572492</v>
      </c>
      <c r="I165" s="302">
        <v>0.20078075495861222</v>
      </c>
      <c r="J165" s="302">
        <f t="shared" si="85"/>
        <v>7.190616462426096</v>
      </c>
      <c r="K165" s="303"/>
      <c r="L165" s="302">
        <v>3.0168768707220646</v>
      </c>
      <c r="M165" s="302">
        <v>1.6599184749886313</v>
      </c>
      <c r="N165" s="302">
        <v>0.1063974834181617</v>
      </c>
      <c r="O165" s="302">
        <f t="shared" si="86"/>
        <v>4.7831928291288577</v>
      </c>
    </row>
    <row r="166" spans="1:15" s="236" customFormat="1" x14ac:dyDescent="0.3">
      <c r="A166" s="237" t="str">
        <f>name!E$8</f>
        <v>Skilled trades occupations</v>
      </c>
      <c r="B166" s="302">
        <v>14.544397707066315</v>
      </c>
      <c r="C166" s="302">
        <v>0.46555869900889219</v>
      </c>
      <c r="D166" s="302">
        <v>1.9268996025523453</v>
      </c>
      <c r="E166" s="302">
        <f t="shared" si="84"/>
        <v>16.936856008627551</v>
      </c>
      <c r="F166" s="303"/>
      <c r="G166" s="302">
        <v>8.5002183535783136</v>
      </c>
      <c r="H166" s="302">
        <v>0.69397149270959591</v>
      </c>
      <c r="I166" s="302">
        <v>0.59032168982986333</v>
      </c>
      <c r="J166" s="302">
        <f>SUM(G166:I166)</f>
        <v>9.7845115361177726</v>
      </c>
      <c r="K166" s="303"/>
      <c r="L166" s="302">
        <v>4.8241889018952469</v>
      </c>
      <c r="M166" s="302">
        <v>0.66611069257030708</v>
      </c>
      <c r="N166" s="302">
        <v>0.51693701920414314</v>
      </c>
      <c r="O166" s="302">
        <f t="shared" si="86"/>
        <v>6.0072366136696971</v>
      </c>
    </row>
    <row r="167" spans="1:15" s="236" customFormat="1" x14ac:dyDescent="0.3">
      <c r="A167" s="237" t="str">
        <f>name!E$9</f>
        <v>Caring, leisure and other service occupations</v>
      </c>
      <c r="B167" s="302">
        <v>0.34669540668399573</v>
      </c>
      <c r="C167" s="302">
        <v>0.14382435554131534</v>
      </c>
      <c r="D167" s="302">
        <v>0.15077170879845883</v>
      </c>
      <c r="E167" s="302">
        <f t="shared" si="84"/>
        <v>0.64129147102376993</v>
      </c>
      <c r="F167" s="303"/>
      <c r="G167" s="302">
        <v>0.25682796738416158</v>
      </c>
      <c r="H167" s="302">
        <v>0.18461061765093503</v>
      </c>
      <c r="I167" s="302">
        <v>9.628485689954068E-2</v>
      </c>
      <c r="J167" s="302">
        <f t="shared" ref="J167:J170" si="87">SUM(G167:I167)</f>
        <v>0.53772344193463728</v>
      </c>
      <c r="K167" s="303"/>
      <c r="L167" s="302">
        <v>0.22389190561100847</v>
      </c>
      <c r="M167" s="302">
        <v>0.1422791496365915</v>
      </c>
      <c r="N167" s="302">
        <v>7.6437177399450357E-2</v>
      </c>
      <c r="O167" s="302">
        <f t="shared" si="86"/>
        <v>0.44260823264705029</v>
      </c>
    </row>
    <row r="168" spans="1:15" s="236" customFormat="1" x14ac:dyDescent="0.3">
      <c r="A168" s="237" t="str">
        <f>name!E$10</f>
        <v>Sales and customer service occupations</v>
      </c>
      <c r="B168" s="302">
        <v>4.1675642250251403</v>
      </c>
      <c r="C168" s="302">
        <v>0.92166154896553965</v>
      </c>
      <c r="D168" s="302">
        <v>0.69093839276321356</v>
      </c>
      <c r="E168" s="302">
        <f t="shared" si="84"/>
        <v>5.7801641667538934</v>
      </c>
      <c r="F168" s="303"/>
      <c r="G168" s="302">
        <v>2.7892402126105353</v>
      </c>
      <c r="H168" s="302">
        <v>1.0191804464180054</v>
      </c>
      <c r="I168" s="302">
        <v>0.2160904367288978</v>
      </c>
      <c r="J168" s="302">
        <f t="shared" si="87"/>
        <v>4.0245110957574388</v>
      </c>
      <c r="K168" s="303"/>
      <c r="L168" s="302">
        <v>2.3019657241240186</v>
      </c>
      <c r="M168" s="302">
        <v>0.88804665328123789</v>
      </c>
      <c r="N168" s="302">
        <v>0.14991987910753873</v>
      </c>
      <c r="O168" s="302">
        <f t="shared" si="86"/>
        <v>3.3399322565127956</v>
      </c>
    </row>
    <row r="169" spans="1:15" s="236" customFormat="1" x14ac:dyDescent="0.3">
      <c r="A169" s="237" t="str">
        <f>name!E$11</f>
        <v>Process, plant and machine operatives</v>
      </c>
      <c r="B169" s="302">
        <v>4.984190237994536</v>
      </c>
      <c r="C169" s="302">
        <v>0.38471178139904055</v>
      </c>
      <c r="D169" s="302">
        <v>0.37399619408421958</v>
      </c>
      <c r="E169" s="302">
        <f t="shared" si="84"/>
        <v>5.7428982134777966</v>
      </c>
      <c r="F169" s="303"/>
      <c r="G169" s="302">
        <v>2.8814814711315431</v>
      </c>
      <c r="H169" s="302">
        <v>1.0952131753851468</v>
      </c>
      <c r="I169" s="302">
        <v>0.19477563994359209</v>
      </c>
      <c r="J169" s="302">
        <f t="shared" si="87"/>
        <v>4.1714702864602824</v>
      </c>
      <c r="K169" s="303"/>
      <c r="L169" s="302">
        <v>2.3668095882569609</v>
      </c>
      <c r="M169" s="302">
        <v>1.2480951701997298</v>
      </c>
      <c r="N169" s="302">
        <v>0.21124466798908745</v>
      </c>
      <c r="O169" s="302">
        <f t="shared" si="86"/>
        <v>3.8261494264457778</v>
      </c>
    </row>
    <row r="170" spans="1:15" s="236" customFormat="1" x14ac:dyDescent="0.3">
      <c r="A170" s="237" t="str">
        <f>name!E$12</f>
        <v>Elementary occupations</v>
      </c>
      <c r="B170" s="302">
        <v>7.4039801255586362</v>
      </c>
      <c r="C170" s="302">
        <v>2.4113997983066291</v>
      </c>
      <c r="D170" s="302">
        <v>0.79710075069709685</v>
      </c>
      <c r="E170" s="302">
        <f t="shared" si="84"/>
        <v>10.612480674562363</v>
      </c>
      <c r="F170" s="303"/>
      <c r="G170" s="302">
        <v>4.1429899110161799</v>
      </c>
      <c r="H170" s="302">
        <v>3.3007892121309244</v>
      </c>
      <c r="I170" s="302">
        <v>0.35560169956248699</v>
      </c>
      <c r="J170" s="302">
        <f t="shared" si="87"/>
        <v>7.7993808227095913</v>
      </c>
      <c r="K170" s="303"/>
      <c r="L170" s="302">
        <v>2.3321413080864684</v>
      </c>
      <c r="M170" s="302">
        <v>2.2574274003576509</v>
      </c>
      <c r="N170" s="302">
        <v>0.28207957081943891</v>
      </c>
      <c r="O170" s="302">
        <f t="shared" si="86"/>
        <v>4.8716482792635585</v>
      </c>
    </row>
    <row r="171" spans="1:15" s="236" customFormat="1" x14ac:dyDescent="0.3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3">
      <c r="A172" s="244" t="s">
        <v>32</v>
      </c>
      <c r="B172" s="311">
        <f>SUM(B162:B170)</f>
        <v>83.817999999540746</v>
      </c>
      <c r="C172" s="311">
        <f t="shared" ref="C172:E172" si="88">SUM(C162:C170)</f>
        <v>10.557000000134654</v>
      </c>
      <c r="D172" s="311">
        <f t="shared" si="88"/>
        <v>14.409000000261749</v>
      </c>
      <c r="E172" s="311">
        <f t="shared" si="88"/>
        <v>108.78399999993714</v>
      </c>
      <c r="F172" s="311"/>
      <c r="G172" s="311">
        <f t="shared" ref="G172:J172" si="89">SUM(G162:G170)</f>
        <v>60.829999999785223</v>
      </c>
      <c r="H172" s="311">
        <f t="shared" si="89"/>
        <v>13.810000000107454</v>
      </c>
      <c r="I172" s="311">
        <f t="shared" si="89"/>
        <v>6.3040000000332519</v>
      </c>
      <c r="J172" s="311">
        <f t="shared" si="89"/>
        <v>80.943999999925907</v>
      </c>
      <c r="K172" s="311"/>
      <c r="L172" s="311">
        <f t="shared" ref="L172:O172" si="90">SUM(L162:L170)</f>
        <v>46.625000000076795</v>
      </c>
      <c r="M172" s="311">
        <f t="shared" si="90"/>
        <v>11.549999999969726</v>
      </c>
      <c r="N172" s="311">
        <f t="shared" si="90"/>
        <v>5.1920000001288331</v>
      </c>
      <c r="O172" s="311">
        <f t="shared" si="90"/>
        <v>63.367000000175359</v>
      </c>
    </row>
    <row r="173" spans="1:15" s="236" customFormat="1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3">
      <c r="A176" s="241" t="str">
        <f>name!A13</f>
        <v>Coke and petroleum; Chemicals, etc</v>
      </c>
      <c r="B176" s="375">
        <f>$B$6</f>
        <v>2015</v>
      </c>
      <c r="C176" s="375"/>
      <c r="D176" s="375"/>
      <c r="E176" s="375"/>
      <c r="F176" s="263"/>
      <c r="G176" s="375">
        <f>$G$6</f>
        <v>2020</v>
      </c>
      <c r="H176" s="375"/>
      <c r="I176" s="375"/>
      <c r="J176" s="375"/>
      <c r="K176" s="263"/>
      <c r="L176" s="375">
        <f>$L$6</f>
        <v>2035</v>
      </c>
      <c r="M176" s="375"/>
      <c r="N176" s="375"/>
      <c r="O176" s="375"/>
    </row>
    <row r="177" spans="1:15" s="236" customFormat="1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3">
      <c r="A179" s="237" t="str">
        <f>name!E$4</f>
        <v>Managers, directors and senior officials</v>
      </c>
      <c r="B179" s="302">
        <v>11.525416842235515</v>
      </c>
      <c r="C179" s="302">
        <v>0.27559257871375747</v>
      </c>
      <c r="D179" s="302">
        <v>0.59838623574079741</v>
      </c>
      <c r="E179" s="302">
        <f>SUM(B179:D179)</f>
        <v>12.39939565669007</v>
      </c>
      <c r="F179" s="303"/>
      <c r="G179" s="302">
        <v>13.011937697606138</v>
      </c>
      <c r="H179" s="302">
        <v>0.5475432678589659</v>
      </c>
      <c r="I179" s="302">
        <v>1.1421289543164002</v>
      </c>
      <c r="J179" s="302">
        <f>SUM(G179:I179)</f>
        <v>14.701609919781504</v>
      </c>
      <c r="K179" s="303"/>
      <c r="L179" s="302">
        <v>11.371996596327616</v>
      </c>
      <c r="M179" s="302">
        <v>0.58088667128664562</v>
      </c>
      <c r="N179" s="302">
        <v>1.0216256542034274</v>
      </c>
      <c r="O179" s="302">
        <f>SUM(L179:N179)</f>
        <v>12.974508921817689</v>
      </c>
    </row>
    <row r="180" spans="1:15" s="236" customFormat="1" x14ac:dyDescent="0.3">
      <c r="A180" s="237" t="str">
        <f>name!E$5</f>
        <v>Professional occupations</v>
      </c>
      <c r="B180" s="302">
        <v>19.810672957746675</v>
      </c>
      <c r="C180" s="302">
        <v>0.37010962732245684</v>
      </c>
      <c r="D180" s="302">
        <v>1.2518655281545665</v>
      </c>
      <c r="E180" s="302">
        <f t="shared" ref="E180:E187" si="91">SUM(B180:D180)</f>
        <v>21.432648113223699</v>
      </c>
      <c r="F180" s="303"/>
      <c r="G180" s="302">
        <v>24.456985231046971</v>
      </c>
      <c r="H180" s="302">
        <v>0.73086376204986259</v>
      </c>
      <c r="I180" s="302">
        <v>1.9214181556377343</v>
      </c>
      <c r="J180" s="302">
        <f t="shared" ref="J180:J182" si="92">SUM(G180:I180)</f>
        <v>27.10926714873457</v>
      </c>
      <c r="K180" s="303"/>
      <c r="L180" s="302">
        <v>23.741735294483814</v>
      </c>
      <c r="M180" s="302">
        <v>0.73729395785919316</v>
      </c>
      <c r="N180" s="302">
        <v>1.3245020897458695</v>
      </c>
      <c r="O180" s="302">
        <f t="shared" ref="O180:O187" si="93">SUM(L180:N180)</f>
        <v>25.803531342088878</v>
      </c>
    </row>
    <row r="181" spans="1:15" s="236" customFormat="1" x14ac:dyDescent="0.3">
      <c r="A181" s="237" t="str">
        <f>name!E$6</f>
        <v>Associate professional occupations</v>
      </c>
      <c r="B181" s="302">
        <v>10.787011453804578</v>
      </c>
      <c r="C181" s="302">
        <v>0.45997150823660166</v>
      </c>
      <c r="D181" s="302">
        <v>0.69290942542942502</v>
      </c>
      <c r="E181" s="302">
        <f t="shared" si="91"/>
        <v>11.939892387470605</v>
      </c>
      <c r="F181" s="303"/>
      <c r="G181" s="302">
        <v>12.836815984026117</v>
      </c>
      <c r="H181" s="302">
        <v>0.78681109897687473</v>
      </c>
      <c r="I181" s="302">
        <v>0.97077304753690574</v>
      </c>
      <c r="J181" s="302">
        <f t="shared" si="92"/>
        <v>14.594400130539897</v>
      </c>
      <c r="K181" s="303"/>
      <c r="L181" s="302">
        <v>10.437618170323706</v>
      </c>
      <c r="M181" s="302">
        <v>0.65543323220355842</v>
      </c>
      <c r="N181" s="302">
        <v>0.86901346255250567</v>
      </c>
      <c r="O181" s="302">
        <f t="shared" si="93"/>
        <v>11.962064865079769</v>
      </c>
    </row>
    <row r="182" spans="1:15" s="236" customFormat="1" x14ac:dyDescent="0.3">
      <c r="A182" s="237" t="str">
        <f>name!E$7</f>
        <v>Administrative and secretarial occupations</v>
      </c>
      <c r="B182" s="302">
        <v>6.4953725380424006</v>
      </c>
      <c r="C182" s="302">
        <v>0.9240288653361215</v>
      </c>
      <c r="D182" s="302">
        <v>0.28566538953212761</v>
      </c>
      <c r="E182" s="302">
        <f t="shared" si="91"/>
        <v>7.7050667929106496</v>
      </c>
      <c r="F182" s="303"/>
      <c r="G182" s="302">
        <v>6.972832232264687</v>
      </c>
      <c r="H182" s="302">
        <v>1.1322091387857476</v>
      </c>
      <c r="I182" s="302">
        <v>0.37253265231984767</v>
      </c>
      <c r="J182" s="302">
        <f t="shared" si="92"/>
        <v>8.4775740233702823</v>
      </c>
      <c r="K182" s="303"/>
      <c r="L182" s="302">
        <v>5.5399657008360874</v>
      </c>
      <c r="M182" s="302">
        <v>0.76807468697795445</v>
      </c>
      <c r="N182" s="302">
        <v>0.30304898299956262</v>
      </c>
      <c r="O182" s="302">
        <f t="shared" si="93"/>
        <v>6.6110893708136054</v>
      </c>
    </row>
    <row r="183" spans="1:15" s="236" customFormat="1" x14ac:dyDescent="0.3">
      <c r="A183" s="237" t="str">
        <f>name!E$8</f>
        <v>Skilled trades occupations</v>
      </c>
      <c r="B183" s="302">
        <v>4.9320152925917631</v>
      </c>
      <c r="C183" s="302">
        <v>0.33238165577148743</v>
      </c>
      <c r="D183" s="302">
        <v>0.84988652812732435</v>
      </c>
      <c r="E183" s="302">
        <f t="shared" si="91"/>
        <v>6.1142834764905754</v>
      </c>
      <c r="F183" s="303"/>
      <c r="G183" s="302">
        <v>3.8832598842248136</v>
      </c>
      <c r="H183" s="302">
        <v>0.36138339795754737</v>
      </c>
      <c r="I183" s="302">
        <v>0.93633771314819469</v>
      </c>
      <c r="J183" s="302">
        <f>SUM(G183:I183)</f>
        <v>5.1809809953305557</v>
      </c>
      <c r="K183" s="303"/>
      <c r="L183" s="302">
        <v>2.6666476500031333</v>
      </c>
      <c r="M183" s="302">
        <v>0.34516759160410221</v>
      </c>
      <c r="N183" s="302">
        <v>1.0367403656252703</v>
      </c>
      <c r="O183" s="302">
        <f t="shared" si="93"/>
        <v>4.0485556072325055</v>
      </c>
    </row>
    <row r="184" spans="1:15" s="236" customFormat="1" x14ac:dyDescent="0.3">
      <c r="A184" s="237" t="str">
        <f>name!E$9</f>
        <v>Caring, leisure and other service occupations</v>
      </c>
      <c r="B184" s="302">
        <v>0.74463516136142316</v>
      </c>
      <c r="C184" s="302">
        <v>0.11107482740988354</v>
      </c>
      <c r="D184" s="302">
        <v>0.21828061423819461</v>
      </c>
      <c r="E184" s="302">
        <f t="shared" si="91"/>
        <v>1.0739906030095012</v>
      </c>
      <c r="F184" s="303"/>
      <c r="G184" s="302">
        <v>0.72411078807258866</v>
      </c>
      <c r="H184" s="302">
        <v>0.14619476633430056</v>
      </c>
      <c r="I184" s="302">
        <v>0.57362956889843342</v>
      </c>
      <c r="J184" s="302">
        <f t="shared" ref="J184:J187" si="94">SUM(G184:I184)</f>
        <v>1.4439351233053226</v>
      </c>
      <c r="K184" s="303"/>
      <c r="L184" s="302">
        <v>0.6558005227023096</v>
      </c>
      <c r="M184" s="302">
        <v>0.12796718409153432</v>
      </c>
      <c r="N184" s="302">
        <v>0.49980830440019092</v>
      </c>
      <c r="O184" s="302">
        <f t="shared" si="93"/>
        <v>1.2835760111940349</v>
      </c>
    </row>
    <row r="185" spans="1:15" s="236" customFormat="1" x14ac:dyDescent="0.3">
      <c r="A185" s="237" t="str">
        <f>name!E$10</f>
        <v>Sales and customer service occupations</v>
      </c>
      <c r="B185" s="302">
        <v>2.2808616351270783</v>
      </c>
      <c r="C185" s="302">
        <v>0.59343937367765753</v>
      </c>
      <c r="D185" s="302">
        <v>0.15212266014098971</v>
      </c>
      <c r="E185" s="302">
        <f t="shared" si="91"/>
        <v>3.0264236689457253</v>
      </c>
      <c r="F185" s="303"/>
      <c r="G185" s="302">
        <v>2.205734332481514</v>
      </c>
      <c r="H185" s="302">
        <v>0.70736244138781257</v>
      </c>
      <c r="I185" s="302">
        <v>0.21101766532954214</v>
      </c>
      <c r="J185" s="302">
        <f t="shared" si="94"/>
        <v>3.1241144391988684</v>
      </c>
      <c r="K185" s="303"/>
      <c r="L185" s="302">
        <v>2.1301754565763149</v>
      </c>
      <c r="M185" s="302">
        <v>0.64961192779094712</v>
      </c>
      <c r="N185" s="302">
        <v>0.16067720658150619</v>
      </c>
      <c r="O185" s="302">
        <f t="shared" si="93"/>
        <v>2.9404645909487686</v>
      </c>
    </row>
    <row r="186" spans="1:15" s="236" customFormat="1" x14ac:dyDescent="0.3">
      <c r="A186" s="237" t="str">
        <f>name!E$11</f>
        <v>Process, plant and machine operatives</v>
      </c>
      <c r="B186" s="302">
        <v>16.603272025123054</v>
      </c>
      <c r="C186" s="302">
        <v>0.74028592573870133</v>
      </c>
      <c r="D186" s="302">
        <v>0.3259269322753417</v>
      </c>
      <c r="E186" s="302">
        <f t="shared" si="91"/>
        <v>17.669484883137095</v>
      </c>
      <c r="F186" s="303"/>
      <c r="G186" s="302">
        <v>12.652241713144955</v>
      </c>
      <c r="H186" s="302">
        <v>1.0107261527744613</v>
      </c>
      <c r="I186" s="302">
        <v>0.74622888070621518</v>
      </c>
      <c r="J186" s="302">
        <f t="shared" si="94"/>
        <v>14.409196746625632</v>
      </c>
      <c r="K186" s="303"/>
      <c r="L186" s="302">
        <v>9.9417112927679554</v>
      </c>
      <c r="M186" s="302">
        <v>1.330972140172126</v>
      </c>
      <c r="N186" s="302">
        <v>0.78402589254794453</v>
      </c>
      <c r="O186" s="302">
        <f t="shared" si="93"/>
        <v>12.056709325488026</v>
      </c>
    </row>
    <row r="187" spans="1:15" s="236" customFormat="1" x14ac:dyDescent="0.3">
      <c r="A187" s="237" t="str">
        <f>name!E$12</f>
        <v>Elementary occupations</v>
      </c>
      <c r="B187" s="302">
        <v>5.0657420935833271</v>
      </c>
      <c r="C187" s="302">
        <v>1.2041156378843669</v>
      </c>
      <c r="D187" s="302">
        <v>0.44295668641538893</v>
      </c>
      <c r="E187" s="302">
        <f t="shared" si="91"/>
        <v>6.7128144178830826</v>
      </c>
      <c r="F187" s="303"/>
      <c r="G187" s="302">
        <v>3.8750821366679733</v>
      </c>
      <c r="H187" s="302">
        <v>1.2989059739620223</v>
      </c>
      <c r="I187" s="302">
        <v>0.82793336213151403</v>
      </c>
      <c r="J187" s="302">
        <f t="shared" si="94"/>
        <v>6.0019214727615093</v>
      </c>
      <c r="K187" s="303"/>
      <c r="L187" s="302">
        <v>2.2973493159536287</v>
      </c>
      <c r="M187" s="302">
        <v>0.95959260802092194</v>
      </c>
      <c r="N187" s="302">
        <v>0.75955804139393746</v>
      </c>
      <c r="O187" s="302">
        <f t="shared" si="93"/>
        <v>4.0164999653684879</v>
      </c>
    </row>
    <row r="188" spans="1:15" s="236" customFormat="1" x14ac:dyDescent="0.3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3">
      <c r="A189" s="244" t="s">
        <v>32</v>
      </c>
      <c r="B189" s="311">
        <f>SUM(B179:B187)</f>
        <v>78.244999999615814</v>
      </c>
      <c r="C189" s="311">
        <f t="shared" ref="C189:E189" si="95">SUM(C179:C187)</f>
        <v>5.011000000091034</v>
      </c>
      <c r="D189" s="311">
        <f t="shared" si="95"/>
        <v>4.8180000000541554</v>
      </c>
      <c r="E189" s="311">
        <f t="shared" si="95"/>
        <v>88.073999999761</v>
      </c>
      <c r="F189" s="311"/>
      <c r="G189" s="311">
        <f t="shared" ref="G189:J189" si="96">SUM(G179:G187)</f>
        <v>80.61899999953576</v>
      </c>
      <c r="H189" s="311">
        <f t="shared" si="96"/>
        <v>6.7220000000875952</v>
      </c>
      <c r="I189" s="311">
        <f t="shared" si="96"/>
        <v>7.7020000000247864</v>
      </c>
      <c r="J189" s="311">
        <f t="shared" si="96"/>
        <v>95.042999999648131</v>
      </c>
      <c r="K189" s="311"/>
      <c r="L189" s="311">
        <f t="shared" ref="L189:O189" si="97">SUM(L179:L187)</f>
        <v>68.782999999974564</v>
      </c>
      <c r="M189" s="311">
        <f t="shared" si="97"/>
        <v>6.1550000000069831</v>
      </c>
      <c r="N189" s="311">
        <f t="shared" si="97"/>
        <v>6.7590000000502144</v>
      </c>
      <c r="O189" s="311">
        <f t="shared" si="97"/>
        <v>81.697000000031764</v>
      </c>
    </row>
    <row r="190" spans="1:15" s="236" customFormat="1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3">
      <c r="A193" s="241" t="str">
        <f>name!A14</f>
        <v>Pharmaceuticals</v>
      </c>
      <c r="B193" s="375">
        <f>$B$6</f>
        <v>2015</v>
      </c>
      <c r="C193" s="375"/>
      <c r="D193" s="375"/>
      <c r="E193" s="375"/>
      <c r="F193" s="263"/>
      <c r="G193" s="375">
        <f>$G$6</f>
        <v>2020</v>
      </c>
      <c r="H193" s="375"/>
      <c r="I193" s="375"/>
      <c r="J193" s="375"/>
      <c r="K193" s="263"/>
      <c r="L193" s="375">
        <f>$L$6</f>
        <v>2035</v>
      </c>
      <c r="M193" s="375"/>
      <c r="N193" s="375"/>
      <c r="O193" s="375"/>
    </row>
    <row r="194" spans="1:15" s="236" customFormat="1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3">
      <c r="A196" s="237" t="str">
        <f>name!E$4</f>
        <v>Managers, directors and senior officials</v>
      </c>
      <c r="B196" s="302">
        <v>3.6875165880003662</v>
      </c>
      <c r="C196" s="302">
        <v>0.20638790794709602</v>
      </c>
      <c r="D196" s="302">
        <v>0.30449817805669199</v>
      </c>
      <c r="E196" s="302">
        <f>SUM(B196:D196)</f>
        <v>4.1984026740041545</v>
      </c>
      <c r="F196" s="303"/>
      <c r="G196" s="302">
        <v>4.4022131576927981</v>
      </c>
      <c r="H196" s="302">
        <v>0.26415750167797702</v>
      </c>
      <c r="I196" s="302">
        <v>0.70407636286897168</v>
      </c>
      <c r="J196" s="302">
        <f>SUM(G196:I196)</f>
        <v>5.3704470222397473</v>
      </c>
      <c r="K196" s="303"/>
      <c r="L196" s="302">
        <v>4.4005133837683044</v>
      </c>
      <c r="M196" s="302">
        <v>0.36531915565238565</v>
      </c>
      <c r="N196" s="302">
        <v>0.86780475071617191</v>
      </c>
      <c r="O196" s="302">
        <f>SUM(L196:N196)</f>
        <v>5.6336372901368623</v>
      </c>
    </row>
    <row r="197" spans="1:15" s="236" customFormat="1" x14ac:dyDescent="0.3">
      <c r="A197" s="237" t="str">
        <f>name!E$5</f>
        <v>Professional occupations</v>
      </c>
      <c r="B197" s="302">
        <v>10.952102932073565</v>
      </c>
      <c r="C197" s="302">
        <v>0.42424946821969406</v>
      </c>
      <c r="D197" s="302">
        <v>0.83988294927228713</v>
      </c>
      <c r="E197" s="302">
        <f t="shared" ref="E197:E204" si="98">SUM(B197:D197)</f>
        <v>12.216235349565546</v>
      </c>
      <c r="F197" s="303"/>
      <c r="G197" s="302">
        <v>15.138024188580538</v>
      </c>
      <c r="H197" s="302">
        <v>0.44181208765438101</v>
      </c>
      <c r="I197" s="302">
        <v>1.0193700342239393</v>
      </c>
      <c r="J197" s="302">
        <f t="shared" ref="J197:J199" si="99">SUM(G197:I197)</f>
        <v>16.599206310458857</v>
      </c>
      <c r="K197" s="303"/>
      <c r="L197" s="302">
        <v>17.218832216627096</v>
      </c>
      <c r="M197" s="302">
        <v>0.57011788922363305</v>
      </c>
      <c r="N197" s="302">
        <v>0.97308488839080198</v>
      </c>
      <c r="O197" s="302">
        <f t="shared" ref="O197:O204" si="100">SUM(L197:N197)</f>
        <v>18.762034994241528</v>
      </c>
    </row>
    <row r="198" spans="1:15" s="236" customFormat="1" x14ac:dyDescent="0.3">
      <c r="A198" s="237" t="str">
        <f>name!E$6</f>
        <v>Associate professional occupations</v>
      </c>
      <c r="B198" s="302">
        <v>4.7057066381564594</v>
      </c>
      <c r="C198" s="302">
        <v>0.42659411197240743</v>
      </c>
      <c r="D198" s="302">
        <v>0.37830170749523417</v>
      </c>
      <c r="E198" s="302">
        <f t="shared" si="98"/>
        <v>5.5106024576241008</v>
      </c>
      <c r="F198" s="303"/>
      <c r="G198" s="302">
        <v>6.1974078300703184</v>
      </c>
      <c r="H198" s="302">
        <v>0.42648603733407708</v>
      </c>
      <c r="I198" s="302">
        <v>0.60897774149968242</v>
      </c>
      <c r="J198" s="302">
        <f t="shared" si="99"/>
        <v>7.2328716089040777</v>
      </c>
      <c r="K198" s="303"/>
      <c r="L198" s="302">
        <v>5.9540731008918355</v>
      </c>
      <c r="M198" s="302">
        <v>0.50909759545248934</v>
      </c>
      <c r="N198" s="302">
        <v>0.71272280325469062</v>
      </c>
      <c r="O198" s="302">
        <f t="shared" si="100"/>
        <v>7.1758934995990158</v>
      </c>
    </row>
    <row r="199" spans="1:15" s="236" customFormat="1" x14ac:dyDescent="0.3">
      <c r="A199" s="237" t="str">
        <f>name!E$7</f>
        <v>Administrative and secretarial occupations</v>
      </c>
      <c r="B199" s="302">
        <v>1.8579159551655637</v>
      </c>
      <c r="C199" s="302">
        <v>0.27836976390492041</v>
      </c>
      <c r="D199" s="302">
        <v>0.13692606325896078</v>
      </c>
      <c r="E199" s="302">
        <f t="shared" si="98"/>
        <v>2.2732117823294447</v>
      </c>
      <c r="F199" s="303"/>
      <c r="G199" s="302">
        <v>2.0086653144504201</v>
      </c>
      <c r="H199" s="302">
        <v>0.22714804441582356</v>
      </c>
      <c r="I199" s="302">
        <v>0.10502148777124846</v>
      </c>
      <c r="J199" s="302">
        <f t="shared" si="99"/>
        <v>2.3408348466374922</v>
      </c>
      <c r="K199" s="303"/>
      <c r="L199" s="302">
        <v>1.5204289799226898</v>
      </c>
      <c r="M199" s="302">
        <v>0.21401284850200564</v>
      </c>
      <c r="N199" s="302">
        <v>9.1920919528065415E-2</v>
      </c>
      <c r="O199" s="302">
        <f t="shared" si="100"/>
        <v>1.8263627479527609</v>
      </c>
    </row>
    <row r="200" spans="1:15" s="236" customFormat="1" x14ac:dyDescent="0.3">
      <c r="A200" s="237" t="str">
        <f>name!E$8</f>
        <v>Skilled trades occupations</v>
      </c>
      <c r="B200" s="302">
        <v>1.7525104260169826</v>
      </c>
      <c r="C200" s="302">
        <v>0.1705452786261088</v>
      </c>
      <c r="D200" s="302">
        <v>0.19988252101227139</v>
      </c>
      <c r="E200" s="302">
        <f t="shared" si="98"/>
        <v>2.1229382256553628</v>
      </c>
      <c r="F200" s="303"/>
      <c r="G200" s="302">
        <v>1.596188258184716</v>
      </c>
      <c r="H200" s="302">
        <v>6.3959468537117523E-2</v>
      </c>
      <c r="I200" s="302">
        <v>0.68043440425250101</v>
      </c>
      <c r="J200" s="302">
        <f>SUM(G200:I200)</f>
        <v>2.3405821309743344</v>
      </c>
      <c r="K200" s="303"/>
      <c r="L200" s="302">
        <v>1.329724969184596</v>
      </c>
      <c r="M200" s="302">
        <v>0.12618271714448343</v>
      </c>
      <c r="N200" s="302">
        <v>0.94241454496406118</v>
      </c>
      <c r="O200" s="302">
        <f t="shared" si="100"/>
        <v>2.3983222312931405</v>
      </c>
    </row>
    <row r="201" spans="1:15" s="236" customFormat="1" x14ac:dyDescent="0.3">
      <c r="A201" s="237" t="str">
        <f>name!E$9</f>
        <v>Caring, leisure and other service occupations</v>
      </c>
      <c r="B201" s="302">
        <v>0.52441374261628693</v>
      </c>
      <c r="C201" s="302">
        <v>0.10902013983765001</v>
      </c>
      <c r="D201" s="302">
        <v>0.12740719904307837</v>
      </c>
      <c r="E201" s="302">
        <f t="shared" si="98"/>
        <v>0.76084108149701535</v>
      </c>
      <c r="F201" s="303"/>
      <c r="G201" s="302">
        <v>0.55600721436432532</v>
      </c>
      <c r="H201" s="302">
        <v>7.1618843784931482E-2</v>
      </c>
      <c r="I201" s="302">
        <v>6.6881609805379313E-2</v>
      </c>
      <c r="J201" s="302">
        <f t="shared" ref="J201:J204" si="101">SUM(G201:I201)</f>
        <v>0.69450766795463603</v>
      </c>
      <c r="K201" s="303"/>
      <c r="L201" s="302">
        <v>0.51312017605163285</v>
      </c>
      <c r="M201" s="302">
        <v>7.3901696411458398E-2</v>
      </c>
      <c r="N201" s="302">
        <v>0.10475500601781876</v>
      </c>
      <c r="O201" s="302">
        <f t="shared" si="100"/>
        <v>0.69177687848090996</v>
      </c>
    </row>
    <row r="202" spans="1:15" s="236" customFormat="1" x14ac:dyDescent="0.3">
      <c r="A202" s="237" t="str">
        <f>name!E$10</f>
        <v>Sales and customer service occupations</v>
      </c>
      <c r="B202" s="302">
        <v>0.62226279015527397</v>
      </c>
      <c r="C202" s="302">
        <v>0.19888854701814646</v>
      </c>
      <c r="D202" s="302">
        <v>0.13850277505218769</v>
      </c>
      <c r="E202" s="302">
        <f t="shared" si="98"/>
        <v>0.95965411222560815</v>
      </c>
      <c r="F202" s="303"/>
      <c r="G202" s="302">
        <v>0.69475933959747505</v>
      </c>
      <c r="H202" s="302">
        <v>0.11422472680514724</v>
      </c>
      <c r="I202" s="302">
        <v>0.1661485104077719</v>
      </c>
      <c r="J202" s="302">
        <f t="shared" si="101"/>
        <v>0.97513257681039422</v>
      </c>
      <c r="K202" s="303"/>
      <c r="L202" s="302">
        <v>0.73996374694183742</v>
      </c>
      <c r="M202" s="302">
        <v>0.16129227812433675</v>
      </c>
      <c r="N202" s="302">
        <v>0.17404076894061335</v>
      </c>
      <c r="O202" s="302">
        <f t="shared" si="100"/>
        <v>1.0752967940067875</v>
      </c>
    </row>
    <row r="203" spans="1:15" s="236" customFormat="1" x14ac:dyDescent="0.3">
      <c r="A203" s="237" t="str">
        <f>name!E$11</f>
        <v>Process, plant and machine operatives</v>
      </c>
      <c r="B203" s="302">
        <v>3.2255444667102089</v>
      </c>
      <c r="C203" s="302">
        <v>0.26135643769815808</v>
      </c>
      <c r="D203" s="302">
        <v>0.25010491115023403</v>
      </c>
      <c r="E203" s="302">
        <f t="shared" si="98"/>
        <v>3.737005815558601</v>
      </c>
      <c r="F203" s="303"/>
      <c r="G203" s="302">
        <v>2.7019641329119271</v>
      </c>
      <c r="H203" s="302">
        <v>0.13821801192861549</v>
      </c>
      <c r="I203" s="302">
        <v>0.55654541758308473</v>
      </c>
      <c r="J203" s="302">
        <f t="shared" si="101"/>
        <v>3.3967275624236275</v>
      </c>
      <c r="K203" s="303"/>
      <c r="L203" s="302">
        <v>2.5331677434607847</v>
      </c>
      <c r="M203" s="302">
        <v>0.27144621793910861</v>
      </c>
      <c r="N203" s="302">
        <v>0.69829375389944015</v>
      </c>
      <c r="O203" s="302">
        <f t="shared" si="100"/>
        <v>3.5029077152993335</v>
      </c>
    </row>
    <row r="204" spans="1:15" s="236" customFormat="1" x14ac:dyDescent="0.3">
      <c r="A204" s="237" t="str">
        <f>name!E$12</f>
        <v>Elementary occupations</v>
      </c>
      <c r="B204" s="302">
        <v>1.1080264609160213</v>
      </c>
      <c r="C204" s="302">
        <v>0.47058834479372935</v>
      </c>
      <c r="D204" s="302">
        <v>0.86349369572380685</v>
      </c>
      <c r="E204" s="302">
        <f t="shared" si="98"/>
        <v>2.4421085014335575</v>
      </c>
      <c r="F204" s="303"/>
      <c r="G204" s="302">
        <v>0.92077056394585277</v>
      </c>
      <c r="H204" s="302">
        <v>0.27337527786989552</v>
      </c>
      <c r="I204" s="302">
        <v>0.34254443161741926</v>
      </c>
      <c r="J204" s="302">
        <f t="shared" si="101"/>
        <v>1.5366902734331676</v>
      </c>
      <c r="K204" s="303"/>
      <c r="L204" s="302">
        <v>0.63517568316621686</v>
      </c>
      <c r="M204" s="302">
        <v>0.27462960154749805</v>
      </c>
      <c r="N204" s="302">
        <v>0.43996256436117087</v>
      </c>
      <c r="O204" s="302">
        <f t="shared" si="100"/>
        <v>1.3497678490748859</v>
      </c>
    </row>
    <row r="205" spans="1:15" s="236" customFormat="1" x14ac:dyDescent="0.3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3">
      <c r="A206" s="244" t="s">
        <v>32</v>
      </c>
      <c r="B206" s="311">
        <f>SUM(B196:B204)</f>
        <v>28.435999999810729</v>
      </c>
      <c r="C206" s="311">
        <f t="shared" ref="C206:E206" si="102">SUM(C196:C204)</f>
        <v>2.5460000000179108</v>
      </c>
      <c r="D206" s="311">
        <f t="shared" si="102"/>
        <v>3.2390000000647525</v>
      </c>
      <c r="E206" s="311">
        <f t="shared" si="102"/>
        <v>34.220999999893394</v>
      </c>
      <c r="F206" s="311"/>
      <c r="G206" s="311">
        <f t="shared" ref="G206:J206" si="103">SUM(G196:G204)</f>
        <v>34.21599999979837</v>
      </c>
      <c r="H206" s="311">
        <f t="shared" si="103"/>
        <v>2.021000000007966</v>
      </c>
      <c r="I206" s="311">
        <f t="shared" si="103"/>
        <v>4.2500000000299982</v>
      </c>
      <c r="J206" s="311">
        <f t="shared" si="103"/>
        <v>40.486999999836335</v>
      </c>
      <c r="K206" s="311"/>
      <c r="L206" s="311">
        <f t="shared" ref="L206:O206" si="104">SUM(L196:L204)</f>
        <v>34.845000000014991</v>
      </c>
      <c r="M206" s="311">
        <f t="shared" si="104"/>
        <v>2.5659999999973988</v>
      </c>
      <c r="N206" s="311">
        <f t="shared" si="104"/>
        <v>5.0050000000728332</v>
      </c>
      <c r="O206" s="311">
        <f t="shared" si="104"/>
        <v>42.416000000085234</v>
      </c>
    </row>
    <row r="207" spans="1:15" s="236" customFormat="1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3">
      <c r="A210" s="241" t="str">
        <f>name!A15</f>
        <v>Rubber and plastic</v>
      </c>
      <c r="B210" s="375">
        <f>$B$6</f>
        <v>2015</v>
      </c>
      <c r="C210" s="375"/>
      <c r="D210" s="375"/>
      <c r="E210" s="375"/>
      <c r="F210" s="263"/>
      <c r="G210" s="375">
        <f>$G$6</f>
        <v>2020</v>
      </c>
      <c r="H210" s="375"/>
      <c r="I210" s="375"/>
      <c r="J210" s="375"/>
      <c r="K210" s="263"/>
      <c r="L210" s="375">
        <f>$L$6</f>
        <v>2035</v>
      </c>
      <c r="M210" s="375"/>
      <c r="N210" s="375"/>
      <c r="O210" s="375"/>
    </row>
    <row r="211" spans="1:15" s="236" customFormat="1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3">
      <c r="A213" s="237" t="str">
        <f>name!E$4</f>
        <v>Managers, directors and senior officials</v>
      </c>
      <c r="B213" s="302">
        <v>15.529555805486405</v>
      </c>
      <c r="C213" s="302">
        <v>0.60939731560977894</v>
      </c>
      <c r="D213" s="302">
        <v>2.4541864193626619</v>
      </c>
      <c r="E213" s="302">
        <f>SUM(B213:D213)</f>
        <v>18.593139540458843</v>
      </c>
      <c r="F213" s="303"/>
      <c r="G213" s="302">
        <v>18.904971284717824</v>
      </c>
      <c r="H213" s="302">
        <v>1.1667642380740553</v>
      </c>
      <c r="I213" s="302">
        <v>1.8584009816073543</v>
      </c>
      <c r="J213" s="302">
        <f>SUM(G213:I213)</f>
        <v>21.930136504399233</v>
      </c>
      <c r="K213" s="303"/>
      <c r="L213" s="302">
        <v>16.931991346902105</v>
      </c>
      <c r="M213" s="302">
        <v>1.2275852601907402</v>
      </c>
      <c r="N213" s="302">
        <v>1.6835681362755119</v>
      </c>
      <c r="O213" s="302">
        <f>SUM(L213:N213)</f>
        <v>19.843144743368356</v>
      </c>
    </row>
    <row r="214" spans="1:15" s="236" customFormat="1" x14ac:dyDescent="0.3">
      <c r="A214" s="237" t="str">
        <f>name!E$5</f>
        <v>Professional occupations</v>
      </c>
      <c r="B214" s="302">
        <v>13.63621670816679</v>
      </c>
      <c r="C214" s="302">
        <v>0.36734634668014376</v>
      </c>
      <c r="D214" s="302">
        <v>0.83817156249965163</v>
      </c>
      <c r="E214" s="302">
        <f t="shared" ref="E214:E221" si="105">SUM(B214:D214)</f>
        <v>14.841734617346585</v>
      </c>
      <c r="F214" s="303"/>
      <c r="G214" s="302">
        <v>18.688036504052796</v>
      </c>
      <c r="H214" s="302">
        <v>0.67616426398242269</v>
      </c>
      <c r="I214" s="302">
        <v>0.57473514706693751</v>
      </c>
      <c r="J214" s="302">
        <f t="shared" ref="J214:J216" si="106">SUM(G214:I214)</f>
        <v>19.938935915102157</v>
      </c>
      <c r="K214" s="303"/>
      <c r="L214" s="302">
        <v>19.821936654572173</v>
      </c>
      <c r="M214" s="302">
        <v>0.66440330419425342</v>
      </c>
      <c r="N214" s="302">
        <v>0.47688789765612399</v>
      </c>
      <c r="O214" s="302">
        <f t="shared" ref="O214:O221" si="107">SUM(L214:N214)</f>
        <v>20.963227856422549</v>
      </c>
    </row>
    <row r="215" spans="1:15" s="236" customFormat="1" x14ac:dyDescent="0.3">
      <c r="A215" s="237" t="str">
        <f>name!E$6</f>
        <v>Associate professional occupations</v>
      </c>
      <c r="B215" s="302">
        <v>12.972954766709504</v>
      </c>
      <c r="C215" s="302">
        <v>0.59234440161577795</v>
      </c>
      <c r="D215" s="302">
        <v>0.89312514155536815</v>
      </c>
      <c r="E215" s="302">
        <f t="shared" si="105"/>
        <v>14.45842430988065</v>
      </c>
      <c r="F215" s="303"/>
      <c r="G215" s="302">
        <v>16.542866915816319</v>
      </c>
      <c r="H215" s="302">
        <v>0.88688514516615513</v>
      </c>
      <c r="I215" s="302">
        <v>0.52360589255483314</v>
      </c>
      <c r="J215" s="302">
        <f t="shared" si="106"/>
        <v>17.953357953537306</v>
      </c>
      <c r="K215" s="303"/>
      <c r="L215" s="302">
        <v>13.681789873861565</v>
      </c>
      <c r="M215" s="302">
        <v>0.74603093807139464</v>
      </c>
      <c r="N215" s="302">
        <v>0.48010026617258267</v>
      </c>
      <c r="O215" s="302">
        <f t="shared" si="107"/>
        <v>14.907921078105542</v>
      </c>
    </row>
    <row r="216" spans="1:15" s="236" customFormat="1" x14ac:dyDescent="0.3">
      <c r="A216" s="237" t="str">
        <f>name!E$7</f>
        <v>Administrative and secretarial occupations</v>
      </c>
      <c r="B216" s="302">
        <v>8.420304298813349</v>
      </c>
      <c r="C216" s="302">
        <v>2.6705528116089581</v>
      </c>
      <c r="D216" s="302">
        <v>0.61420395894999846</v>
      </c>
      <c r="E216" s="302">
        <f t="shared" si="105"/>
        <v>11.705061069372306</v>
      </c>
      <c r="F216" s="303"/>
      <c r="G216" s="302">
        <v>9.282410877005189</v>
      </c>
      <c r="H216" s="302">
        <v>2.9697358980037931</v>
      </c>
      <c r="I216" s="302">
        <v>0.28842328778301135</v>
      </c>
      <c r="J216" s="302">
        <f t="shared" si="106"/>
        <v>12.540570062791993</v>
      </c>
      <c r="K216" s="303"/>
      <c r="L216" s="302">
        <v>6.6714141268739731</v>
      </c>
      <c r="M216" s="302">
        <v>2.0485290372774649</v>
      </c>
      <c r="N216" s="302">
        <v>0.19914376294699879</v>
      </c>
      <c r="O216" s="302">
        <f t="shared" si="107"/>
        <v>8.9190869270984372</v>
      </c>
    </row>
    <row r="217" spans="1:15" s="236" customFormat="1" x14ac:dyDescent="0.3">
      <c r="A217" s="237" t="str">
        <f>name!E$8</f>
        <v>Skilled trades occupations</v>
      </c>
      <c r="B217" s="302">
        <v>23.793962731771416</v>
      </c>
      <c r="C217" s="302">
        <v>0.6954243656230783</v>
      </c>
      <c r="D217" s="302">
        <v>5.1793700060843086</v>
      </c>
      <c r="E217" s="302">
        <f t="shared" si="105"/>
        <v>29.668757103478804</v>
      </c>
      <c r="F217" s="303"/>
      <c r="G217" s="302">
        <v>20.810960195749363</v>
      </c>
      <c r="H217" s="302">
        <v>0.86342508396899909</v>
      </c>
      <c r="I217" s="302">
        <v>2.8132696693860089</v>
      </c>
      <c r="J217" s="302">
        <f>SUM(G217:I217)</f>
        <v>24.487654949104371</v>
      </c>
      <c r="K217" s="303"/>
      <c r="L217" s="302">
        <v>15.853598242554973</v>
      </c>
      <c r="M217" s="302">
        <v>1.1066313652003492</v>
      </c>
      <c r="N217" s="302">
        <v>2.6915789164672836</v>
      </c>
      <c r="O217" s="302">
        <f t="shared" si="107"/>
        <v>19.651808524222606</v>
      </c>
    </row>
    <row r="218" spans="1:15" s="236" customFormat="1" x14ac:dyDescent="0.3">
      <c r="A218" s="237" t="str">
        <f>name!E$9</f>
        <v>Caring, leisure and other service occupations</v>
      </c>
      <c r="B218" s="302">
        <v>1.850680609117465</v>
      </c>
      <c r="C218" s="302">
        <v>0.579099644744697</v>
      </c>
      <c r="D218" s="302">
        <v>9.333859605941168E-2</v>
      </c>
      <c r="E218" s="302">
        <f t="shared" si="105"/>
        <v>2.5231188499215738</v>
      </c>
      <c r="F218" s="303"/>
      <c r="G218" s="302">
        <v>2.0924955139974175</v>
      </c>
      <c r="H218" s="302">
        <v>0.60327009942428123</v>
      </c>
      <c r="I218" s="302">
        <v>6.2125842899055324E-2</v>
      </c>
      <c r="J218" s="302">
        <f t="shared" ref="J218:J221" si="108">SUM(G218:I218)</f>
        <v>2.7578914563207544</v>
      </c>
      <c r="K218" s="303"/>
      <c r="L218" s="302">
        <v>2.4945259487697631</v>
      </c>
      <c r="M218" s="302">
        <v>0.50786691308452125</v>
      </c>
      <c r="N218" s="302">
        <v>5.9606475408743712E-2</v>
      </c>
      <c r="O218" s="302">
        <f t="shared" si="107"/>
        <v>3.0619993372630279</v>
      </c>
    </row>
    <row r="219" spans="1:15" s="236" customFormat="1" x14ac:dyDescent="0.3">
      <c r="A219" s="237" t="str">
        <f>name!E$10</f>
        <v>Sales and customer service occupations</v>
      </c>
      <c r="B219" s="302">
        <v>4.6994807207635496</v>
      </c>
      <c r="C219" s="302">
        <v>0.83371889687226175</v>
      </c>
      <c r="D219" s="302">
        <v>0.54965237814294232</v>
      </c>
      <c r="E219" s="302">
        <f t="shared" si="105"/>
        <v>6.0828519957787535</v>
      </c>
      <c r="F219" s="303"/>
      <c r="G219" s="302">
        <v>4.8355983071506907</v>
      </c>
      <c r="H219" s="302">
        <v>1.1381535707035413</v>
      </c>
      <c r="I219" s="302">
        <v>0.21297537921246662</v>
      </c>
      <c r="J219" s="302">
        <f t="shared" si="108"/>
        <v>6.1867272570666989</v>
      </c>
      <c r="K219" s="303"/>
      <c r="L219" s="302">
        <v>4.4310106064571073</v>
      </c>
      <c r="M219" s="302">
        <v>1.041604722017863</v>
      </c>
      <c r="N219" s="302">
        <v>0.15341659331399421</v>
      </c>
      <c r="O219" s="302">
        <f t="shared" si="107"/>
        <v>5.6260319217889645</v>
      </c>
    </row>
    <row r="220" spans="1:15" s="236" customFormat="1" x14ac:dyDescent="0.3">
      <c r="A220" s="237" t="str">
        <f>name!E$11</f>
        <v>Process, plant and machine operatives</v>
      </c>
      <c r="B220" s="302">
        <v>41.75031329737169</v>
      </c>
      <c r="C220" s="302">
        <v>1.7242144792433478</v>
      </c>
      <c r="D220" s="302">
        <v>1.5127141881538313</v>
      </c>
      <c r="E220" s="302">
        <f t="shared" si="105"/>
        <v>44.98724196476887</v>
      </c>
      <c r="F220" s="303"/>
      <c r="G220" s="302">
        <v>36.61582499195265</v>
      </c>
      <c r="H220" s="302">
        <v>2.1618951266408621</v>
      </c>
      <c r="I220" s="302">
        <v>0.99160297906902906</v>
      </c>
      <c r="J220" s="302">
        <f t="shared" si="108"/>
        <v>39.769323097662543</v>
      </c>
      <c r="K220" s="303"/>
      <c r="L220" s="302">
        <v>34.005483531367958</v>
      </c>
      <c r="M220" s="302">
        <v>2.9228815097984033</v>
      </c>
      <c r="N220" s="302">
        <v>1.0364665754998044</v>
      </c>
      <c r="O220" s="302">
        <f t="shared" si="107"/>
        <v>37.96483161666616</v>
      </c>
    </row>
    <row r="221" spans="1:15" s="236" customFormat="1" x14ac:dyDescent="0.3">
      <c r="A221" s="237" t="str">
        <f>name!E$12</f>
        <v>Elementary occupations</v>
      </c>
      <c r="B221" s="302">
        <v>11.582531061619168</v>
      </c>
      <c r="C221" s="302">
        <v>1.2789017381857939</v>
      </c>
      <c r="D221" s="302">
        <v>0.83223774919458282</v>
      </c>
      <c r="E221" s="302">
        <f t="shared" si="105"/>
        <v>13.693670548999545</v>
      </c>
      <c r="F221" s="303"/>
      <c r="G221" s="302">
        <v>9.7378354093087616</v>
      </c>
      <c r="H221" s="302">
        <v>1.3367065741364268</v>
      </c>
      <c r="I221" s="302">
        <v>0.33786082038804904</v>
      </c>
      <c r="J221" s="302">
        <f t="shared" si="108"/>
        <v>11.412402803833237</v>
      </c>
      <c r="K221" s="303"/>
      <c r="L221" s="302">
        <v>5.6752496687183829</v>
      </c>
      <c r="M221" s="302">
        <v>0.85446695008938944</v>
      </c>
      <c r="N221" s="302">
        <v>0.19923137627310841</v>
      </c>
      <c r="O221" s="302">
        <f t="shared" si="107"/>
        <v>6.7289479950808815</v>
      </c>
    </row>
    <row r="222" spans="1:15" s="236" customFormat="1" x14ac:dyDescent="0.3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3">
      <c r="A223" s="244" t="s">
        <v>32</v>
      </c>
      <c r="B223" s="311">
        <f>SUM(B213:B221)</f>
        <v>134.23599999981934</v>
      </c>
      <c r="C223" s="311">
        <f t="shared" ref="C223:E223" si="109">SUM(C213:C221)</f>
        <v>9.3510000001838378</v>
      </c>
      <c r="D223" s="311">
        <f t="shared" si="109"/>
        <v>12.967000000002756</v>
      </c>
      <c r="E223" s="311">
        <f t="shared" si="109"/>
        <v>156.55400000000591</v>
      </c>
      <c r="F223" s="311"/>
      <c r="G223" s="311">
        <f t="shared" ref="G223:J223" si="110">SUM(G213:G221)</f>
        <v>137.51099999975102</v>
      </c>
      <c r="H223" s="311">
        <f t="shared" si="110"/>
        <v>11.803000000100537</v>
      </c>
      <c r="I223" s="311">
        <f t="shared" si="110"/>
        <v>7.6629999999667451</v>
      </c>
      <c r="J223" s="311">
        <f t="shared" si="110"/>
        <v>156.97699999981828</v>
      </c>
      <c r="K223" s="311"/>
      <c r="L223" s="311">
        <f t="shared" ref="L223:O223" si="111">SUM(L213:L221)</f>
        <v>119.567000000078</v>
      </c>
      <c r="M223" s="311">
        <f t="shared" si="111"/>
        <v>11.11999999992438</v>
      </c>
      <c r="N223" s="311">
        <f t="shared" si="111"/>
        <v>6.9800000000141527</v>
      </c>
      <c r="O223" s="311">
        <f t="shared" si="111"/>
        <v>137.66700000001651</v>
      </c>
    </row>
    <row r="224" spans="1:15" s="236" customFormat="1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3">
      <c r="A227" s="241" t="str">
        <f>name!A16</f>
        <v>Other non-metallic</v>
      </c>
      <c r="B227" s="375">
        <f>$B$6</f>
        <v>2015</v>
      </c>
      <c r="C227" s="375"/>
      <c r="D227" s="375"/>
      <c r="E227" s="375"/>
      <c r="F227" s="263"/>
      <c r="G227" s="375">
        <f>$G$6</f>
        <v>2020</v>
      </c>
      <c r="H227" s="375"/>
      <c r="I227" s="375"/>
      <c r="J227" s="375"/>
      <c r="K227" s="263"/>
      <c r="L227" s="375">
        <f>$L$6</f>
        <v>2035</v>
      </c>
      <c r="M227" s="375"/>
      <c r="N227" s="375"/>
      <c r="O227" s="375"/>
    </row>
    <row r="228" spans="1:15" s="236" customFormat="1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3">
      <c r="A230" s="237" t="str">
        <f>name!E$4</f>
        <v>Managers, directors and senior officials</v>
      </c>
      <c r="B230" s="302">
        <v>8.5535638362214819</v>
      </c>
      <c r="C230" s="302">
        <v>0.16576564030150315</v>
      </c>
      <c r="D230" s="302">
        <v>0.85052531700709622</v>
      </c>
      <c r="E230" s="302">
        <f>SUM(B230:D230)</f>
        <v>9.5698547935300802</v>
      </c>
      <c r="F230" s="303"/>
      <c r="G230" s="302">
        <v>11.322714832030655</v>
      </c>
      <c r="H230" s="302">
        <v>0.46073005048216603</v>
      </c>
      <c r="I230" s="302">
        <v>0.4512803629414715</v>
      </c>
      <c r="J230" s="302">
        <f>SUM(G230:I230)</f>
        <v>12.234725245454293</v>
      </c>
      <c r="K230" s="303"/>
      <c r="L230" s="302">
        <v>9.9708317992533715</v>
      </c>
      <c r="M230" s="302">
        <v>0.49392743151165475</v>
      </c>
      <c r="N230" s="302">
        <v>0.50447643861087976</v>
      </c>
      <c r="O230" s="302">
        <f>SUM(L230:N230)</f>
        <v>10.969235669375905</v>
      </c>
    </row>
    <row r="231" spans="1:15" s="236" customFormat="1" x14ac:dyDescent="0.3">
      <c r="A231" s="237" t="str">
        <f>name!E$5</f>
        <v>Professional occupations</v>
      </c>
      <c r="B231" s="302">
        <v>5.9033510493488395</v>
      </c>
      <c r="C231" s="302">
        <v>0.29108348260678646</v>
      </c>
      <c r="D231" s="302">
        <v>0.22108994272984592</v>
      </c>
      <c r="E231" s="302">
        <f t="shared" ref="E231:E238" si="112">SUM(B231:D231)</f>
        <v>6.4155244746854718</v>
      </c>
      <c r="F231" s="303"/>
      <c r="G231" s="302">
        <v>8.8932669987119333</v>
      </c>
      <c r="H231" s="302">
        <v>0.68395776576067924</v>
      </c>
      <c r="I231" s="302">
        <v>0.11266325069077474</v>
      </c>
      <c r="J231" s="302">
        <f t="shared" ref="J231:J233" si="113">SUM(G231:I231)</f>
        <v>9.6898880151633868</v>
      </c>
      <c r="K231" s="303"/>
      <c r="L231" s="302">
        <v>9.3062675365090843</v>
      </c>
      <c r="M231" s="302">
        <v>0.72467220131762455</v>
      </c>
      <c r="N231" s="302">
        <v>9.2812968156579273E-2</v>
      </c>
      <c r="O231" s="302">
        <f t="shared" ref="O231:O238" si="114">SUM(L231:N231)</f>
        <v>10.123752705983287</v>
      </c>
    </row>
    <row r="232" spans="1:15" s="236" customFormat="1" x14ac:dyDescent="0.3">
      <c r="A232" s="237" t="str">
        <f>name!E$6</f>
        <v>Associate professional occupations</v>
      </c>
      <c r="B232" s="302">
        <v>6.0905948197526003</v>
      </c>
      <c r="C232" s="302">
        <v>0.32880914490032714</v>
      </c>
      <c r="D232" s="302">
        <v>0.19886253742694129</v>
      </c>
      <c r="E232" s="302">
        <f t="shared" si="112"/>
        <v>6.6182665020798686</v>
      </c>
      <c r="F232" s="303"/>
      <c r="G232" s="302">
        <v>8.265785129529494</v>
      </c>
      <c r="H232" s="302">
        <v>0.9037881602737764</v>
      </c>
      <c r="I232" s="302">
        <v>0.10852744384573797</v>
      </c>
      <c r="J232" s="302">
        <f t="shared" si="113"/>
        <v>9.2781007336490084</v>
      </c>
      <c r="K232" s="303"/>
      <c r="L232" s="302">
        <v>7.405737294085073</v>
      </c>
      <c r="M232" s="302">
        <v>0.69100018110225192</v>
      </c>
      <c r="N232" s="302">
        <v>0.10040265384969133</v>
      </c>
      <c r="O232" s="302">
        <f t="shared" si="114"/>
        <v>8.1971401290370167</v>
      </c>
    </row>
    <row r="233" spans="1:15" s="236" customFormat="1" x14ac:dyDescent="0.3">
      <c r="A233" s="237" t="str">
        <f>name!E$7</f>
        <v>Administrative and secretarial occupations</v>
      </c>
      <c r="B233" s="302">
        <v>4.1470574424671014</v>
      </c>
      <c r="C233" s="302">
        <v>1.056752555218327</v>
      </c>
      <c r="D233" s="302">
        <v>0.2126535407961021</v>
      </c>
      <c r="E233" s="302">
        <f t="shared" si="112"/>
        <v>5.4164635384815298</v>
      </c>
      <c r="F233" s="303"/>
      <c r="G233" s="302">
        <v>5.1413542360830613</v>
      </c>
      <c r="H233" s="302">
        <v>1.6087569590738144</v>
      </c>
      <c r="I233" s="302">
        <v>0.12407343409579123</v>
      </c>
      <c r="J233" s="302">
        <f t="shared" si="113"/>
        <v>6.8741846292526674</v>
      </c>
      <c r="K233" s="303"/>
      <c r="L233" s="302">
        <v>3.5865916704318002</v>
      </c>
      <c r="M233" s="302">
        <v>1.1980537877858246</v>
      </c>
      <c r="N233" s="302">
        <v>0.11451716946280641</v>
      </c>
      <c r="O233" s="302">
        <f t="shared" si="114"/>
        <v>4.8991626276804316</v>
      </c>
    </row>
    <row r="234" spans="1:15" s="236" customFormat="1" x14ac:dyDescent="0.3">
      <c r="A234" s="237" t="str">
        <f>name!E$8</f>
        <v>Skilled trades occupations</v>
      </c>
      <c r="B234" s="302">
        <v>13.096243204728646</v>
      </c>
      <c r="C234" s="302">
        <v>0.27101471982058623</v>
      </c>
      <c r="D234" s="302">
        <v>3.4243318908846452</v>
      </c>
      <c r="E234" s="302">
        <f t="shared" si="112"/>
        <v>16.791589815433877</v>
      </c>
      <c r="F234" s="303"/>
      <c r="G234" s="302">
        <v>13.594356281319913</v>
      </c>
      <c r="H234" s="302">
        <v>0.39962528840085937</v>
      </c>
      <c r="I234" s="302">
        <v>1.1169214939901757</v>
      </c>
      <c r="J234" s="302">
        <f>SUM(G234:I234)</f>
        <v>15.110903063710948</v>
      </c>
      <c r="K234" s="303"/>
      <c r="L234" s="302">
        <v>10.147989716513125</v>
      </c>
      <c r="M234" s="302">
        <v>0.4669542525467032</v>
      </c>
      <c r="N234" s="302">
        <v>1.2852841322300947</v>
      </c>
      <c r="O234" s="302">
        <f t="shared" si="114"/>
        <v>11.900228101289922</v>
      </c>
    </row>
    <row r="235" spans="1:15" s="236" customFormat="1" x14ac:dyDescent="0.3">
      <c r="A235" s="237" t="str">
        <f>name!E$9</f>
        <v>Caring, leisure and other service occupations</v>
      </c>
      <c r="B235" s="302">
        <v>0.89908125705930309</v>
      </c>
      <c r="C235" s="302">
        <v>0.11040588052735525</v>
      </c>
      <c r="D235" s="302">
        <v>9.9986789407164892E-2</v>
      </c>
      <c r="E235" s="302">
        <f t="shared" si="112"/>
        <v>1.1094739269938232</v>
      </c>
      <c r="F235" s="303"/>
      <c r="G235" s="302">
        <v>1.1929768931502915</v>
      </c>
      <c r="H235" s="302">
        <v>0.18608619007859015</v>
      </c>
      <c r="I235" s="302">
        <v>9.908472021188966E-2</v>
      </c>
      <c r="J235" s="302">
        <f t="shared" ref="J235:J238" si="115">SUM(G235:I235)</f>
        <v>1.4781478034407713</v>
      </c>
      <c r="K235" s="303"/>
      <c r="L235" s="302">
        <v>1.4515472382144985</v>
      </c>
      <c r="M235" s="302">
        <v>0.14512091205749134</v>
      </c>
      <c r="N235" s="302">
        <v>0.12420291723075819</v>
      </c>
      <c r="O235" s="302">
        <f t="shared" si="114"/>
        <v>1.7208710675027479</v>
      </c>
    </row>
    <row r="236" spans="1:15" s="236" customFormat="1" x14ac:dyDescent="0.3">
      <c r="A236" s="237" t="str">
        <f>name!E$10</f>
        <v>Sales and customer service occupations</v>
      </c>
      <c r="B236" s="302">
        <v>1.9558088130737337</v>
      </c>
      <c r="C236" s="302">
        <v>0.48272242956280864</v>
      </c>
      <c r="D236" s="302">
        <v>0.2397494010058264</v>
      </c>
      <c r="E236" s="302">
        <f t="shared" si="112"/>
        <v>2.6782806436423687</v>
      </c>
      <c r="F236" s="303"/>
      <c r="G236" s="302">
        <v>2.2123110093068914</v>
      </c>
      <c r="H236" s="302">
        <v>0.65132854987130717</v>
      </c>
      <c r="I236" s="302">
        <v>8.9764650942205121E-2</v>
      </c>
      <c r="J236" s="302">
        <f t="shared" si="115"/>
        <v>2.9534042101204037</v>
      </c>
      <c r="K236" s="303"/>
      <c r="L236" s="302">
        <v>2.0278314118476324</v>
      </c>
      <c r="M236" s="302">
        <v>0.67814713495855816</v>
      </c>
      <c r="N236" s="302">
        <v>7.9475347979645908E-2</v>
      </c>
      <c r="O236" s="302">
        <f t="shared" si="114"/>
        <v>2.7854538947858365</v>
      </c>
    </row>
    <row r="237" spans="1:15" s="236" customFormat="1" x14ac:dyDescent="0.3">
      <c r="A237" s="237" t="str">
        <f>name!E$11</f>
        <v>Process, plant and machine operatives</v>
      </c>
      <c r="B237" s="302">
        <v>17.673433104648147</v>
      </c>
      <c r="C237" s="302">
        <v>0.32580254834266259</v>
      </c>
      <c r="D237" s="302">
        <v>0.58048828067532054</v>
      </c>
      <c r="E237" s="302">
        <f t="shared" si="112"/>
        <v>18.579723933666131</v>
      </c>
      <c r="F237" s="303"/>
      <c r="G237" s="302">
        <v>17.797878704417577</v>
      </c>
      <c r="H237" s="302">
        <v>0.60739739301831197</v>
      </c>
      <c r="I237" s="302">
        <v>0.22678784748355646</v>
      </c>
      <c r="J237" s="302">
        <f t="shared" si="115"/>
        <v>18.632063944919448</v>
      </c>
      <c r="K237" s="303"/>
      <c r="L237" s="302">
        <v>16.536587903055167</v>
      </c>
      <c r="M237" s="302">
        <v>0.8810827456906577</v>
      </c>
      <c r="N237" s="302">
        <v>0.26850106414192215</v>
      </c>
      <c r="O237" s="302">
        <f t="shared" si="114"/>
        <v>17.686171712887749</v>
      </c>
    </row>
    <row r="238" spans="1:15" s="236" customFormat="1" x14ac:dyDescent="0.3">
      <c r="A238" s="237" t="str">
        <f>name!E$12</f>
        <v>Elementary occupations</v>
      </c>
      <c r="B238" s="302">
        <v>5.2188664725078668</v>
      </c>
      <c r="C238" s="302">
        <v>0.95864359880706385</v>
      </c>
      <c r="D238" s="302">
        <v>0.45731230004162887</v>
      </c>
      <c r="E238" s="302">
        <f t="shared" si="112"/>
        <v>6.6348223713565595</v>
      </c>
      <c r="F238" s="303"/>
      <c r="G238" s="302">
        <v>5.0983559153656604</v>
      </c>
      <c r="H238" s="302">
        <v>0.9933296431197961</v>
      </c>
      <c r="I238" s="302">
        <v>0.13289679576506691</v>
      </c>
      <c r="J238" s="302">
        <f t="shared" si="115"/>
        <v>6.224582354250523</v>
      </c>
      <c r="K238" s="303"/>
      <c r="L238" s="302">
        <v>2.9626154300810508</v>
      </c>
      <c r="M238" s="302">
        <v>0.70404135300036574</v>
      </c>
      <c r="N238" s="302">
        <v>0.14832730830379126</v>
      </c>
      <c r="O238" s="302">
        <f t="shared" si="114"/>
        <v>3.8149840913852078</v>
      </c>
    </row>
    <row r="239" spans="1:15" s="236" customFormat="1" x14ac:dyDescent="0.3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3">
      <c r="A240" s="244" t="s">
        <v>32</v>
      </c>
      <c r="B240" s="311">
        <f>SUM(B230:B238)</f>
        <v>63.537999999807717</v>
      </c>
      <c r="C240" s="311">
        <f t="shared" ref="C240:E240" si="116">SUM(C230:C238)</f>
        <v>3.9910000000874204</v>
      </c>
      <c r="D240" s="311">
        <f t="shared" si="116"/>
        <v>6.2849999999745707</v>
      </c>
      <c r="E240" s="311">
        <f t="shared" si="116"/>
        <v>73.813999999869708</v>
      </c>
      <c r="F240" s="311"/>
      <c r="G240" s="311">
        <f t="shared" ref="G240:J240" si="117">SUM(G230:G238)</f>
        <v>73.518999999915479</v>
      </c>
      <c r="H240" s="311">
        <f t="shared" si="117"/>
        <v>6.4950000000792993</v>
      </c>
      <c r="I240" s="311">
        <f t="shared" si="117"/>
        <v>2.4619999999666695</v>
      </c>
      <c r="J240" s="311">
        <f t="shared" si="117"/>
        <v>82.475999999961459</v>
      </c>
      <c r="K240" s="311"/>
      <c r="L240" s="311">
        <f t="shared" ref="L240:O240" si="118">SUM(L230:L238)</f>
        <v>63.395999999990799</v>
      </c>
      <c r="M240" s="311">
        <f t="shared" si="118"/>
        <v>5.9829999999711321</v>
      </c>
      <c r="N240" s="311">
        <f t="shared" si="118"/>
        <v>2.7179999999661693</v>
      </c>
      <c r="O240" s="311">
        <f t="shared" si="118"/>
        <v>72.096999999928101</v>
      </c>
    </row>
    <row r="241" spans="1:15" s="236" customFormat="1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3">
      <c r="A244" s="241" t="str">
        <f>name!A17</f>
        <v>Basic metals</v>
      </c>
      <c r="B244" s="375">
        <f>$B$6</f>
        <v>2015</v>
      </c>
      <c r="C244" s="375"/>
      <c r="D244" s="375"/>
      <c r="E244" s="375"/>
      <c r="F244" s="263"/>
      <c r="G244" s="375">
        <f>$G$6</f>
        <v>2020</v>
      </c>
      <c r="H244" s="375"/>
      <c r="I244" s="375"/>
      <c r="J244" s="375"/>
      <c r="K244" s="263"/>
      <c r="L244" s="375">
        <f>$L$6</f>
        <v>2035</v>
      </c>
      <c r="M244" s="375"/>
      <c r="N244" s="375"/>
      <c r="O244" s="375"/>
    </row>
    <row r="245" spans="1:15" s="236" customFormat="1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3">
      <c r="A247" s="237" t="str">
        <f>name!E$4</f>
        <v>Managers, directors and senior officials</v>
      </c>
      <c r="B247" s="302">
        <v>3.6817794673488065</v>
      </c>
      <c r="C247" s="302">
        <v>0.20619786900498474</v>
      </c>
      <c r="D247" s="302">
        <v>0.35652156906748</v>
      </c>
      <c r="E247" s="302">
        <f>SUM(B247:D247)</f>
        <v>4.2444989054212714</v>
      </c>
      <c r="F247" s="303"/>
      <c r="G247" s="302">
        <v>3.9452747142819056</v>
      </c>
      <c r="H247" s="302">
        <v>0.37925525101186647</v>
      </c>
      <c r="I247" s="302">
        <v>0.18165883023589594</v>
      </c>
      <c r="J247" s="302">
        <f>SUM(G247:I247)</f>
        <v>4.5061887955296678</v>
      </c>
      <c r="K247" s="303"/>
      <c r="L247" s="302">
        <v>3.4081479099180885</v>
      </c>
      <c r="M247" s="302">
        <v>0.33692436206106169</v>
      </c>
      <c r="N247" s="302">
        <v>0.18252261537085293</v>
      </c>
      <c r="O247" s="302">
        <f>SUM(L247:N247)</f>
        <v>3.9275948873500033</v>
      </c>
    </row>
    <row r="248" spans="1:15" s="236" customFormat="1" x14ac:dyDescent="0.3">
      <c r="A248" s="237" t="str">
        <f>name!E$5</f>
        <v>Professional occupations</v>
      </c>
      <c r="B248" s="302">
        <v>7.0120992575029044</v>
      </c>
      <c r="C248" s="302">
        <v>0.12137276491396055</v>
      </c>
      <c r="D248" s="302">
        <v>0.27252559187148712</v>
      </c>
      <c r="E248" s="302">
        <f t="shared" ref="E248:E255" si="119">SUM(B248:D248)</f>
        <v>7.4059976142883519</v>
      </c>
      <c r="F248" s="303"/>
      <c r="G248" s="302">
        <v>8.1857851470474845</v>
      </c>
      <c r="H248" s="302">
        <v>0.23432152240026349</v>
      </c>
      <c r="I248" s="302">
        <v>0.13233809883819306</v>
      </c>
      <c r="J248" s="302">
        <f t="shared" ref="J248:J250" si="120">SUM(G248:I248)</f>
        <v>8.552444768285941</v>
      </c>
      <c r="K248" s="303"/>
      <c r="L248" s="302">
        <v>8.3627344884617347</v>
      </c>
      <c r="M248" s="302">
        <v>0.19721220523361666</v>
      </c>
      <c r="N248" s="302">
        <v>0.11071706426551063</v>
      </c>
      <c r="O248" s="302">
        <f t="shared" ref="O248:O255" si="121">SUM(L248:N248)</f>
        <v>8.6706637579608632</v>
      </c>
    </row>
    <row r="249" spans="1:15" s="236" customFormat="1" x14ac:dyDescent="0.3">
      <c r="A249" s="237" t="str">
        <f>name!E$6</f>
        <v>Associate professional occupations</v>
      </c>
      <c r="B249" s="302">
        <v>4.4308625113697904</v>
      </c>
      <c r="C249" s="302">
        <v>0.17578235131629449</v>
      </c>
      <c r="D249" s="302">
        <v>0.13975633846685231</v>
      </c>
      <c r="E249" s="302">
        <f t="shared" si="119"/>
        <v>4.7464012011529366</v>
      </c>
      <c r="F249" s="303"/>
      <c r="G249" s="302">
        <v>5.0342347888347989</v>
      </c>
      <c r="H249" s="302">
        <v>0.25155602962758744</v>
      </c>
      <c r="I249" s="302">
        <v>9.8469129543792236E-2</v>
      </c>
      <c r="J249" s="302">
        <f t="shared" si="120"/>
        <v>5.3842599480061786</v>
      </c>
      <c r="K249" s="303"/>
      <c r="L249" s="302">
        <v>4.1655516745622485</v>
      </c>
      <c r="M249" s="302">
        <v>0.18322339836278159</v>
      </c>
      <c r="N249" s="302">
        <v>0.1011141854288963</v>
      </c>
      <c r="O249" s="302">
        <f t="shared" si="121"/>
        <v>4.4498892583539265</v>
      </c>
    </row>
    <row r="250" spans="1:15" s="236" customFormat="1" x14ac:dyDescent="0.3">
      <c r="A250" s="237" t="str">
        <f>name!E$7</f>
        <v>Administrative and secretarial occupations</v>
      </c>
      <c r="B250" s="302">
        <v>3.5664521495480423</v>
      </c>
      <c r="C250" s="302">
        <v>0.62159329631363147</v>
      </c>
      <c r="D250" s="302">
        <v>3.9712308876465881E-2</v>
      </c>
      <c r="E250" s="302">
        <f t="shared" si="119"/>
        <v>4.2277577547381391</v>
      </c>
      <c r="F250" s="303"/>
      <c r="G250" s="302">
        <v>3.4273385100191658</v>
      </c>
      <c r="H250" s="302">
        <v>0.61335969858149519</v>
      </c>
      <c r="I250" s="302">
        <v>2.9676934498551574E-2</v>
      </c>
      <c r="J250" s="302">
        <f t="shared" si="120"/>
        <v>4.0703751430992128</v>
      </c>
      <c r="K250" s="303"/>
      <c r="L250" s="302">
        <v>2.8241716853516952</v>
      </c>
      <c r="M250" s="302">
        <v>0.44078280673454739</v>
      </c>
      <c r="N250" s="302">
        <v>3.0888024381339977E-2</v>
      </c>
      <c r="O250" s="302">
        <f t="shared" si="121"/>
        <v>3.2958425164675824</v>
      </c>
    </row>
    <row r="251" spans="1:15" s="236" customFormat="1" x14ac:dyDescent="0.3">
      <c r="A251" s="237" t="str">
        <f>name!E$8</f>
        <v>Skilled trades occupations</v>
      </c>
      <c r="B251" s="302">
        <v>16.922893199195943</v>
      </c>
      <c r="C251" s="302">
        <v>0.54728108608842629</v>
      </c>
      <c r="D251" s="302">
        <v>0.48960228157872387</v>
      </c>
      <c r="E251" s="302">
        <f t="shared" si="119"/>
        <v>17.959776566863091</v>
      </c>
      <c r="F251" s="303"/>
      <c r="G251" s="302">
        <v>13.407943041313725</v>
      </c>
      <c r="H251" s="302">
        <v>0.48221305729252939</v>
      </c>
      <c r="I251" s="302">
        <v>0.13122373980434127</v>
      </c>
      <c r="J251" s="302">
        <f>SUM(G251:I251)</f>
        <v>14.021379838410596</v>
      </c>
      <c r="K251" s="303"/>
      <c r="L251" s="302">
        <v>9.7197668676188265</v>
      </c>
      <c r="M251" s="302">
        <v>0.47863007010294772</v>
      </c>
      <c r="N251" s="302">
        <v>0.13919167821847364</v>
      </c>
      <c r="O251" s="302">
        <f t="shared" si="121"/>
        <v>10.337588615940248</v>
      </c>
    </row>
    <row r="252" spans="1:15" s="236" customFormat="1" x14ac:dyDescent="0.3">
      <c r="A252" s="237" t="str">
        <f>name!E$9</f>
        <v>Caring, leisure and other service occupations</v>
      </c>
      <c r="B252" s="302">
        <v>0.68009975864949834</v>
      </c>
      <c r="C252" s="302">
        <v>4.0668161128873254E-2</v>
      </c>
      <c r="D252" s="302">
        <v>1.9693614455957131E-2</v>
      </c>
      <c r="E252" s="302">
        <f t="shared" si="119"/>
        <v>0.74046153423432881</v>
      </c>
      <c r="F252" s="303"/>
      <c r="G252" s="302">
        <v>0.72706743136647711</v>
      </c>
      <c r="H252" s="302">
        <v>6.9486012169093114E-2</v>
      </c>
      <c r="I252" s="302">
        <v>2.6187447725735995E-2</v>
      </c>
      <c r="J252" s="302">
        <f t="shared" ref="J252:J255" si="122">SUM(G252:I252)</f>
        <v>0.82274089126130623</v>
      </c>
      <c r="K252" s="303"/>
      <c r="L252" s="302">
        <v>0.76001317801456458</v>
      </c>
      <c r="M252" s="302">
        <v>5.3715347196662884E-2</v>
      </c>
      <c r="N252" s="302">
        <v>2.0033074964199767E-2</v>
      </c>
      <c r="O252" s="302">
        <f t="shared" si="121"/>
        <v>0.83376160017542733</v>
      </c>
    </row>
    <row r="253" spans="1:15" s="236" customFormat="1" x14ac:dyDescent="0.3">
      <c r="A253" s="237" t="str">
        <f>name!E$10</f>
        <v>Sales and customer service occupations</v>
      </c>
      <c r="B253" s="302">
        <v>0.48463430632144455</v>
      </c>
      <c r="C253" s="302">
        <v>0.10658232195723225</v>
      </c>
      <c r="D253" s="302">
        <v>2.910709153915959E-2</v>
      </c>
      <c r="E253" s="302">
        <f t="shared" si="119"/>
        <v>0.62032371981783641</v>
      </c>
      <c r="F253" s="303"/>
      <c r="G253" s="302">
        <v>0.46146764130027096</v>
      </c>
      <c r="H253" s="302">
        <v>0.11437704200311445</v>
      </c>
      <c r="I253" s="302">
        <v>1.2397203409877974E-2</v>
      </c>
      <c r="J253" s="302">
        <f t="shared" si="122"/>
        <v>0.58824188671326338</v>
      </c>
      <c r="K253" s="303"/>
      <c r="L253" s="302">
        <v>0.4877793548750608</v>
      </c>
      <c r="M253" s="302">
        <v>0.10624416836466519</v>
      </c>
      <c r="N253" s="302">
        <v>1.1750513711335238E-2</v>
      </c>
      <c r="O253" s="302">
        <f t="shared" si="121"/>
        <v>0.60577403695106125</v>
      </c>
    </row>
    <row r="254" spans="1:15" s="236" customFormat="1" x14ac:dyDescent="0.3">
      <c r="A254" s="237" t="str">
        <f>name!E$11</f>
        <v>Process, plant and machine operatives</v>
      </c>
      <c r="B254" s="302">
        <v>10.012055810683298</v>
      </c>
      <c r="C254" s="302">
        <v>0.45025627327494477</v>
      </c>
      <c r="D254" s="302">
        <v>0.28480217845162359</v>
      </c>
      <c r="E254" s="302">
        <f t="shared" si="119"/>
        <v>10.747114262409868</v>
      </c>
      <c r="F254" s="303"/>
      <c r="G254" s="302">
        <v>7.7476430272544734</v>
      </c>
      <c r="H254" s="302">
        <v>0.39991247386181861</v>
      </c>
      <c r="I254" s="302">
        <v>0.1088877805216128</v>
      </c>
      <c r="J254" s="302">
        <f t="shared" si="122"/>
        <v>8.256443281637905</v>
      </c>
      <c r="K254" s="303"/>
      <c r="L254" s="302">
        <v>7.358541428532158</v>
      </c>
      <c r="M254" s="302">
        <v>0.44991591966987926</v>
      </c>
      <c r="N254" s="302">
        <v>0.12070512954623509</v>
      </c>
      <c r="O254" s="302">
        <f t="shared" si="121"/>
        <v>7.9291624777482728</v>
      </c>
    </row>
    <row r="255" spans="1:15" s="236" customFormat="1" x14ac:dyDescent="0.3">
      <c r="A255" s="237" t="str">
        <f>name!E$12</f>
        <v>Elementary occupations</v>
      </c>
      <c r="B255" s="302">
        <v>2.1001235392743389</v>
      </c>
      <c r="C255" s="302">
        <v>0.29926587603373583</v>
      </c>
      <c r="D255" s="302">
        <v>0.25327902568942995</v>
      </c>
      <c r="E255" s="302">
        <f t="shared" si="119"/>
        <v>2.6526684409975045</v>
      </c>
      <c r="F255" s="303"/>
      <c r="G255" s="302">
        <v>1.6292456984857695</v>
      </c>
      <c r="H255" s="302">
        <v>0.30751891305889023</v>
      </c>
      <c r="I255" s="302">
        <v>8.0160835419364973E-2</v>
      </c>
      <c r="J255" s="302">
        <f t="shared" si="122"/>
        <v>2.0169254469640245</v>
      </c>
      <c r="K255" s="303"/>
      <c r="L255" s="302">
        <v>0.93529341261867049</v>
      </c>
      <c r="M255" s="302">
        <v>0.18535172226342339</v>
      </c>
      <c r="N255" s="302">
        <v>9.4077714115541541E-2</v>
      </c>
      <c r="O255" s="302">
        <f t="shared" si="121"/>
        <v>1.2147228489976354</v>
      </c>
    </row>
    <row r="256" spans="1:15" s="236" customFormat="1" x14ac:dyDescent="0.3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3">
      <c r="A257" s="244" t="s">
        <v>32</v>
      </c>
      <c r="B257" s="311">
        <f>SUM(B247:B255)</f>
        <v>48.890999999894078</v>
      </c>
      <c r="C257" s="311">
        <f t="shared" ref="C257:E257" si="123">SUM(C247:C255)</f>
        <v>2.5690000000320836</v>
      </c>
      <c r="D257" s="311">
        <f t="shared" si="123"/>
        <v>1.8849999999971796</v>
      </c>
      <c r="E257" s="311">
        <f t="shared" si="123"/>
        <v>53.344999999923317</v>
      </c>
      <c r="F257" s="311"/>
      <c r="G257" s="311">
        <f t="shared" ref="G257:J257" si="124">SUM(G247:G255)</f>
        <v>44.565999999904079</v>
      </c>
      <c r="H257" s="311">
        <f t="shared" si="124"/>
        <v>2.8520000000066585</v>
      </c>
      <c r="I257" s="311">
        <f t="shared" si="124"/>
        <v>0.80099999999736582</v>
      </c>
      <c r="J257" s="311">
        <f t="shared" si="124"/>
        <v>48.218999999908092</v>
      </c>
      <c r="K257" s="311"/>
      <c r="L257" s="311">
        <f t="shared" ref="L257:O257" si="125">SUM(L247:L255)</f>
        <v>38.021999999953046</v>
      </c>
      <c r="M257" s="311">
        <f t="shared" si="125"/>
        <v>2.431999999989586</v>
      </c>
      <c r="N257" s="311">
        <f t="shared" si="125"/>
        <v>0.81100000000238526</v>
      </c>
      <c r="O257" s="311">
        <f t="shared" si="125"/>
        <v>41.264999999945026</v>
      </c>
    </row>
    <row r="258" spans="1:15" s="236" customFormat="1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3">
      <c r="A261" s="241" t="str">
        <f>name!A18</f>
        <v>Metal products</v>
      </c>
      <c r="B261" s="375">
        <f>$B$6</f>
        <v>2015</v>
      </c>
      <c r="C261" s="375"/>
      <c r="D261" s="375"/>
      <c r="E261" s="375"/>
      <c r="F261" s="263"/>
      <c r="G261" s="375">
        <f>$G$6</f>
        <v>2020</v>
      </c>
      <c r="H261" s="375"/>
      <c r="I261" s="375"/>
      <c r="J261" s="375"/>
      <c r="K261" s="263"/>
      <c r="L261" s="375">
        <f>$L$6</f>
        <v>2035</v>
      </c>
      <c r="M261" s="375"/>
      <c r="N261" s="375"/>
      <c r="O261" s="375"/>
    </row>
    <row r="262" spans="1:15" s="236" customFormat="1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3">
      <c r="A264" s="237" t="str">
        <f>name!E$4</f>
        <v>Managers, directors and senior officials</v>
      </c>
      <c r="B264" s="302">
        <v>24.990545488965402</v>
      </c>
      <c r="C264" s="302">
        <v>2.0807763296066053</v>
      </c>
      <c r="D264" s="302">
        <v>2.6013302536906768</v>
      </c>
      <c r="E264" s="302">
        <f>SUM(B264:D264)</f>
        <v>29.672652072262686</v>
      </c>
      <c r="F264" s="303"/>
      <c r="G264" s="302">
        <v>24.35897903451999</v>
      </c>
      <c r="H264" s="302">
        <v>2.8718829260723862</v>
      </c>
      <c r="I264" s="302">
        <v>2.9938157645816643</v>
      </c>
      <c r="J264" s="302">
        <f>SUM(G264:I264)</f>
        <v>30.224677725174043</v>
      </c>
      <c r="K264" s="303"/>
      <c r="L264" s="302">
        <v>21.88497578869401</v>
      </c>
      <c r="M264" s="302">
        <v>2.8507568550617033</v>
      </c>
      <c r="N264" s="302">
        <v>2.4477419816797501</v>
      </c>
      <c r="O264" s="302">
        <f>SUM(L264:N264)</f>
        <v>27.183474625435466</v>
      </c>
    </row>
    <row r="265" spans="1:15" s="236" customFormat="1" x14ac:dyDescent="0.3">
      <c r="A265" s="237" t="str">
        <f>name!E$5</f>
        <v>Professional occupations</v>
      </c>
      <c r="B265" s="302">
        <v>31.735121060901953</v>
      </c>
      <c r="C265" s="302">
        <v>1.5008009208047253</v>
      </c>
      <c r="D265" s="302">
        <v>1.470870731458982</v>
      </c>
      <c r="E265" s="302">
        <f t="shared" ref="E265:E272" si="126">SUM(B265:D265)</f>
        <v>34.706792713165662</v>
      </c>
      <c r="F265" s="303"/>
      <c r="G265" s="302">
        <v>34.452258960221343</v>
      </c>
      <c r="H265" s="302">
        <v>2.0548372175169307</v>
      </c>
      <c r="I265" s="302">
        <v>1.3758620900386729</v>
      </c>
      <c r="J265" s="302">
        <f t="shared" ref="J265:J267" si="127">SUM(G265:I265)</f>
        <v>37.882958267776949</v>
      </c>
      <c r="K265" s="303"/>
      <c r="L265" s="302">
        <v>36.164321173602083</v>
      </c>
      <c r="M265" s="302">
        <v>1.8736715694949551</v>
      </c>
      <c r="N265" s="302">
        <v>0.81446029768127615</v>
      </c>
      <c r="O265" s="302">
        <f t="shared" ref="O265:O272" si="128">SUM(L265:N265)</f>
        <v>38.852453040778315</v>
      </c>
    </row>
    <row r="266" spans="1:15" s="236" customFormat="1" x14ac:dyDescent="0.3">
      <c r="A266" s="237" t="str">
        <f>name!E$6</f>
        <v>Associate professional occupations</v>
      </c>
      <c r="B266" s="302">
        <v>28.621899688555256</v>
      </c>
      <c r="C266" s="302">
        <v>1.6581033565874941</v>
      </c>
      <c r="D266" s="302">
        <v>0.58239139997647971</v>
      </c>
      <c r="E266" s="302">
        <f t="shared" si="126"/>
        <v>30.862394445119229</v>
      </c>
      <c r="F266" s="303"/>
      <c r="G266" s="302">
        <v>29.157957137219579</v>
      </c>
      <c r="H266" s="302">
        <v>2.1068373112770176</v>
      </c>
      <c r="I266" s="302">
        <v>0.55586905702734957</v>
      </c>
      <c r="J266" s="302">
        <f t="shared" si="127"/>
        <v>31.82066350552395</v>
      </c>
      <c r="K266" s="303"/>
      <c r="L266" s="302">
        <v>24.359687554597329</v>
      </c>
      <c r="M266" s="302">
        <v>1.4776480423866878</v>
      </c>
      <c r="N266" s="302">
        <v>0.44690067569032477</v>
      </c>
      <c r="O266" s="302">
        <f t="shared" si="128"/>
        <v>26.284236272674342</v>
      </c>
    </row>
    <row r="267" spans="1:15" s="236" customFormat="1" x14ac:dyDescent="0.3">
      <c r="A267" s="237" t="str">
        <f>name!E$7</f>
        <v>Administrative and secretarial occupations</v>
      </c>
      <c r="B267" s="302">
        <v>13.011262795250184</v>
      </c>
      <c r="C267" s="302">
        <v>7.2536664665649822</v>
      </c>
      <c r="D267" s="302">
        <v>0.39198599944402374</v>
      </c>
      <c r="E267" s="302">
        <f t="shared" si="126"/>
        <v>20.65691526125919</v>
      </c>
      <c r="F267" s="303"/>
      <c r="G267" s="302">
        <v>11.251359658281295</v>
      </c>
      <c r="H267" s="302">
        <v>6.3766594676512991</v>
      </c>
      <c r="I267" s="302">
        <v>0.53426273872590213</v>
      </c>
      <c r="J267" s="302">
        <f t="shared" si="127"/>
        <v>18.1622818646585</v>
      </c>
      <c r="K267" s="303"/>
      <c r="L267" s="302">
        <v>8.2321365931198116</v>
      </c>
      <c r="M267" s="302">
        <v>4.2229088742108685</v>
      </c>
      <c r="N267" s="302">
        <v>0.35088647304470721</v>
      </c>
      <c r="O267" s="302">
        <f t="shared" si="128"/>
        <v>12.805931940375388</v>
      </c>
    </row>
    <row r="268" spans="1:15" s="236" customFormat="1" x14ac:dyDescent="0.3">
      <c r="A268" s="237" t="str">
        <f>name!E$8</f>
        <v>Skilled trades occupations</v>
      </c>
      <c r="B268" s="302">
        <v>99.923424987504035</v>
      </c>
      <c r="C268" s="302">
        <v>4.0579565635406203</v>
      </c>
      <c r="D268" s="302">
        <v>4.6991161431122297</v>
      </c>
      <c r="E268" s="302">
        <f t="shared" si="126"/>
        <v>108.68049769415688</v>
      </c>
      <c r="F268" s="303"/>
      <c r="G268" s="302">
        <v>72.596645215743919</v>
      </c>
      <c r="H268" s="302">
        <v>3.7010612432970729</v>
      </c>
      <c r="I268" s="302">
        <v>3.140954958666434</v>
      </c>
      <c r="J268" s="302">
        <f>SUM(G268:I268)</f>
        <v>79.438661417707436</v>
      </c>
      <c r="K268" s="303"/>
      <c r="L268" s="302">
        <v>54.521050231169063</v>
      </c>
      <c r="M268" s="302">
        <v>3.5200170932526111</v>
      </c>
      <c r="N268" s="302">
        <v>2.4323984885453735</v>
      </c>
      <c r="O268" s="302">
        <f t="shared" si="128"/>
        <v>60.473465812967049</v>
      </c>
    </row>
    <row r="269" spans="1:15" s="236" customFormat="1" x14ac:dyDescent="0.3">
      <c r="A269" s="237" t="str">
        <f>name!E$9</f>
        <v>Caring, leisure and other service occupations</v>
      </c>
      <c r="B269" s="302">
        <v>1.813927545408125</v>
      </c>
      <c r="C269" s="302">
        <v>0.2649773880733623</v>
      </c>
      <c r="D269" s="302">
        <v>0.10973105670186342</v>
      </c>
      <c r="E269" s="302">
        <f t="shared" si="126"/>
        <v>2.1886359901833505</v>
      </c>
      <c r="F269" s="303"/>
      <c r="G269" s="302">
        <v>1.6116604446166058</v>
      </c>
      <c r="H269" s="302">
        <v>0.26028179401058399</v>
      </c>
      <c r="I269" s="302">
        <v>0.1760527741588509</v>
      </c>
      <c r="J269" s="302">
        <f t="shared" ref="J269:J272" si="129">SUM(G269:I269)</f>
        <v>2.0479950127860409</v>
      </c>
      <c r="K269" s="303"/>
      <c r="L269" s="302">
        <v>1.9646726160498222</v>
      </c>
      <c r="M269" s="302">
        <v>0.18682837250222431</v>
      </c>
      <c r="N269" s="302">
        <v>0.23002918096390765</v>
      </c>
      <c r="O269" s="302">
        <f t="shared" si="128"/>
        <v>2.3815301695159539</v>
      </c>
    </row>
    <row r="270" spans="1:15" s="236" customFormat="1" x14ac:dyDescent="0.3">
      <c r="A270" s="237" t="str">
        <f>name!E$10</f>
        <v>Sales and customer service occupations</v>
      </c>
      <c r="B270" s="302">
        <v>3.1941073426657693</v>
      </c>
      <c r="C270" s="302">
        <v>0.81476871110730809</v>
      </c>
      <c r="D270" s="302">
        <v>0.25105100279854697</v>
      </c>
      <c r="E270" s="302">
        <f t="shared" si="126"/>
        <v>4.2599270565716241</v>
      </c>
      <c r="F270" s="303"/>
      <c r="G270" s="302">
        <v>2.6201932876596392</v>
      </c>
      <c r="H270" s="302">
        <v>0.82564469698287801</v>
      </c>
      <c r="I270" s="302">
        <v>0.20925134873109888</v>
      </c>
      <c r="J270" s="302">
        <f t="shared" si="129"/>
        <v>3.6550893333736161</v>
      </c>
      <c r="K270" s="303"/>
      <c r="L270" s="302">
        <v>2.6051333809733568</v>
      </c>
      <c r="M270" s="302">
        <v>0.85050118517443229</v>
      </c>
      <c r="N270" s="302">
        <v>0.16761109822256978</v>
      </c>
      <c r="O270" s="302">
        <f t="shared" si="128"/>
        <v>3.6232456643703586</v>
      </c>
    </row>
    <row r="271" spans="1:15" s="236" customFormat="1" x14ac:dyDescent="0.3">
      <c r="A271" s="237" t="str">
        <f>name!E$11</f>
        <v>Process, plant and machine operatives</v>
      </c>
      <c r="B271" s="302">
        <v>33.74743969239654</v>
      </c>
      <c r="C271" s="302">
        <v>2.923396693381684</v>
      </c>
      <c r="D271" s="302">
        <v>0.58818943143036728</v>
      </c>
      <c r="E271" s="302">
        <f t="shared" si="126"/>
        <v>37.259025817208588</v>
      </c>
      <c r="F271" s="303"/>
      <c r="G271" s="302">
        <v>22.694857984606301</v>
      </c>
      <c r="H271" s="302">
        <v>2.933161185046389</v>
      </c>
      <c r="I271" s="302">
        <v>0.45464261346636875</v>
      </c>
      <c r="J271" s="302">
        <f t="shared" si="129"/>
        <v>26.082661783119057</v>
      </c>
      <c r="K271" s="303"/>
      <c r="L271" s="302">
        <v>21.961101243925018</v>
      </c>
      <c r="M271" s="302">
        <v>3.578175760081475</v>
      </c>
      <c r="N271" s="302">
        <v>0.43726709702419819</v>
      </c>
      <c r="O271" s="302">
        <f t="shared" si="128"/>
        <v>25.97654410103069</v>
      </c>
    </row>
    <row r="272" spans="1:15" s="236" customFormat="1" x14ac:dyDescent="0.3">
      <c r="A272" s="237" t="str">
        <f>name!E$12</f>
        <v>Elementary occupations</v>
      </c>
      <c r="B272" s="302">
        <v>9.0682713977058196</v>
      </c>
      <c r="C272" s="302">
        <v>2.072553570598203</v>
      </c>
      <c r="D272" s="302">
        <v>0.27933398137476217</v>
      </c>
      <c r="E272" s="302">
        <f t="shared" si="126"/>
        <v>11.420158949678784</v>
      </c>
      <c r="F272" s="303"/>
      <c r="G272" s="302">
        <v>6.1370882765380328</v>
      </c>
      <c r="H272" s="302">
        <v>1.6376341582947367</v>
      </c>
      <c r="I272" s="302">
        <v>0.26928865453306861</v>
      </c>
      <c r="J272" s="302">
        <f t="shared" si="129"/>
        <v>8.0440110893658385</v>
      </c>
      <c r="K272" s="303"/>
      <c r="L272" s="302">
        <v>3.4299214179421953</v>
      </c>
      <c r="M272" s="302">
        <v>0.99149224774330191</v>
      </c>
      <c r="N272" s="302">
        <v>0.21570470708699693</v>
      </c>
      <c r="O272" s="302">
        <f t="shared" si="128"/>
        <v>4.6371183727724938</v>
      </c>
    </row>
    <row r="273" spans="1:15" s="236" customFormat="1" x14ac:dyDescent="0.3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3">
      <c r="A274" s="244" t="s">
        <v>32</v>
      </c>
      <c r="B274" s="311">
        <f>SUM(B264:B272)</f>
        <v>246.10599999935309</v>
      </c>
      <c r="C274" s="311">
        <f t="shared" ref="C274:E274" si="130">SUM(C264:C272)</f>
        <v>22.627000000264985</v>
      </c>
      <c r="D274" s="311">
        <f t="shared" si="130"/>
        <v>10.973999999987932</v>
      </c>
      <c r="E274" s="311">
        <f t="shared" si="130"/>
        <v>279.70699999960601</v>
      </c>
      <c r="F274" s="311"/>
      <c r="G274" s="311">
        <f t="shared" ref="G274:J274" si="131">SUM(G264:G272)</f>
        <v>204.88099999940673</v>
      </c>
      <c r="H274" s="311">
        <f t="shared" si="131"/>
        <v>22.768000000149293</v>
      </c>
      <c r="I274" s="311">
        <f t="shared" si="131"/>
        <v>9.709999999929412</v>
      </c>
      <c r="J274" s="311">
        <f t="shared" si="131"/>
        <v>237.35899999948543</v>
      </c>
      <c r="K274" s="311"/>
      <c r="L274" s="311">
        <f t="shared" ref="L274:O274" si="132">SUM(L264:L272)</f>
        <v>175.12300000007269</v>
      </c>
      <c r="M274" s="311">
        <f t="shared" si="132"/>
        <v>19.551999999908261</v>
      </c>
      <c r="N274" s="311">
        <f t="shared" si="132"/>
        <v>7.542999999939104</v>
      </c>
      <c r="O274" s="311">
        <f t="shared" si="132"/>
        <v>202.21799999992007</v>
      </c>
    </row>
    <row r="275" spans="1:15" s="236" customFormat="1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3">
      <c r="A278" s="241" t="str">
        <f>name!A19</f>
        <v>Computer, etc</v>
      </c>
      <c r="B278" s="375">
        <f>$B$6</f>
        <v>2015</v>
      </c>
      <c r="C278" s="375"/>
      <c r="D278" s="375"/>
      <c r="E278" s="375"/>
      <c r="F278" s="263"/>
      <c r="G278" s="375">
        <f>$G$6</f>
        <v>2020</v>
      </c>
      <c r="H278" s="375"/>
      <c r="I278" s="375"/>
      <c r="J278" s="375"/>
      <c r="K278" s="263"/>
      <c r="L278" s="375">
        <f>$L$6</f>
        <v>2035</v>
      </c>
      <c r="M278" s="375"/>
      <c r="N278" s="375"/>
      <c r="O278" s="375"/>
    </row>
    <row r="279" spans="1:15" s="236" customFormat="1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3">
      <c r="A281" s="237" t="str">
        <f>name!E$4</f>
        <v>Managers, directors and senior officials</v>
      </c>
      <c r="B281" s="302">
        <v>13.366627057332161</v>
      </c>
      <c r="C281" s="302">
        <v>0.79404084874188474</v>
      </c>
      <c r="D281" s="302">
        <v>0.83692905929726802</v>
      </c>
      <c r="E281" s="302">
        <f>SUM(B281:D281)</f>
        <v>14.997596965371315</v>
      </c>
      <c r="F281" s="303"/>
      <c r="G281" s="302">
        <v>15.508854051438069</v>
      </c>
      <c r="H281" s="302">
        <v>0.99137558845812557</v>
      </c>
      <c r="I281" s="302">
        <v>1.0533140908538501</v>
      </c>
      <c r="J281" s="302">
        <f>SUM(G281:I281)</f>
        <v>17.553543730750043</v>
      </c>
      <c r="K281" s="303"/>
      <c r="L281" s="302">
        <v>13.85790425642122</v>
      </c>
      <c r="M281" s="302">
        <v>0.88695159338135721</v>
      </c>
      <c r="N281" s="302">
        <v>0.96938417680224898</v>
      </c>
      <c r="O281" s="302">
        <f>SUM(L281:N281)</f>
        <v>15.714240026604825</v>
      </c>
    </row>
    <row r="282" spans="1:15" s="236" customFormat="1" x14ac:dyDescent="0.3">
      <c r="A282" s="237" t="str">
        <f>name!E$5</f>
        <v>Professional occupations</v>
      </c>
      <c r="B282" s="302">
        <v>26.114248676161907</v>
      </c>
      <c r="C282" s="302">
        <v>0.75966171829424045</v>
      </c>
      <c r="D282" s="302">
        <v>1.3321724674395454</v>
      </c>
      <c r="E282" s="302">
        <f t="shared" ref="E282:E289" si="133">SUM(B282:D282)</f>
        <v>28.206082861895691</v>
      </c>
      <c r="F282" s="303"/>
      <c r="G282" s="302">
        <v>32.977932505710299</v>
      </c>
      <c r="H282" s="302">
        <v>0.92882447389566225</v>
      </c>
      <c r="I282" s="302">
        <v>1.2759588643521176</v>
      </c>
      <c r="J282" s="302">
        <f t="shared" ref="J282:J284" si="134">SUM(G282:I282)</f>
        <v>35.182715843958078</v>
      </c>
      <c r="K282" s="303"/>
      <c r="L282" s="302">
        <v>33.024895108095244</v>
      </c>
      <c r="M282" s="302">
        <v>0.759266239529514</v>
      </c>
      <c r="N282" s="302">
        <v>1.0195982091030553</v>
      </c>
      <c r="O282" s="302">
        <f t="shared" ref="O282:O289" si="135">SUM(L282:N282)</f>
        <v>34.803759556727819</v>
      </c>
    </row>
    <row r="283" spans="1:15" s="236" customFormat="1" x14ac:dyDescent="0.3">
      <c r="A283" s="237" t="str">
        <f>name!E$6</f>
        <v>Associate professional occupations</v>
      </c>
      <c r="B283" s="302">
        <v>13.638628637312296</v>
      </c>
      <c r="C283" s="302">
        <v>0.89020318093151418</v>
      </c>
      <c r="D283" s="302">
        <v>0.77254537313571681</v>
      </c>
      <c r="E283" s="302">
        <f t="shared" si="133"/>
        <v>15.301377191379528</v>
      </c>
      <c r="F283" s="303"/>
      <c r="G283" s="302">
        <v>16.643220928313319</v>
      </c>
      <c r="H283" s="302">
        <v>0.99626289244701827</v>
      </c>
      <c r="I283" s="302">
        <v>0.8576113414387424</v>
      </c>
      <c r="J283" s="302">
        <f t="shared" si="134"/>
        <v>18.497095162199077</v>
      </c>
      <c r="K283" s="303"/>
      <c r="L283" s="302">
        <v>13.825391646009058</v>
      </c>
      <c r="M283" s="302">
        <v>0.76665385034651923</v>
      </c>
      <c r="N283" s="302">
        <v>0.61943185688756452</v>
      </c>
      <c r="O283" s="302">
        <f t="shared" si="135"/>
        <v>15.211477353243142</v>
      </c>
    </row>
    <row r="284" spans="1:15" s="236" customFormat="1" x14ac:dyDescent="0.3">
      <c r="A284" s="237" t="str">
        <f>name!E$7</f>
        <v>Administrative and secretarial occupations</v>
      </c>
      <c r="B284" s="302">
        <v>5.5547748124788558</v>
      </c>
      <c r="C284" s="302">
        <v>1.8233429158473908</v>
      </c>
      <c r="D284" s="302">
        <v>0.13861041540408622</v>
      </c>
      <c r="E284" s="302">
        <f t="shared" si="133"/>
        <v>7.516728143730333</v>
      </c>
      <c r="F284" s="303"/>
      <c r="G284" s="302">
        <v>5.7448655875241892</v>
      </c>
      <c r="H284" s="302">
        <v>1.5618578832749002</v>
      </c>
      <c r="I284" s="302">
        <v>0.1652544588907302</v>
      </c>
      <c r="J284" s="302">
        <f t="shared" si="134"/>
        <v>7.4719779296898192</v>
      </c>
      <c r="K284" s="303"/>
      <c r="L284" s="302">
        <v>3.8835163636346386</v>
      </c>
      <c r="M284" s="302">
        <v>0.87591565240050961</v>
      </c>
      <c r="N284" s="302">
        <v>0.12879097494387262</v>
      </c>
      <c r="O284" s="302">
        <f t="shared" si="135"/>
        <v>4.8882229909790214</v>
      </c>
    </row>
    <row r="285" spans="1:15" s="236" customFormat="1" x14ac:dyDescent="0.3">
      <c r="A285" s="237" t="str">
        <f>name!E$8</f>
        <v>Skilled trades occupations</v>
      </c>
      <c r="B285" s="302">
        <v>13.869528110082427</v>
      </c>
      <c r="C285" s="302">
        <v>0.93703922508652548</v>
      </c>
      <c r="D285" s="302">
        <v>0.94659239575092247</v>
      </c>
      <c r="E285" s="302">
        <f t="shared" si="133"/>
        <v>15.753159730919876</v>
      </c>
      <c r="F285" s="303"/>
      <c r="G285" s="302">
        <v>11.009651182045804</v>
      </c>
      <c r="H285" s="302">
        <v>0.65855196527073168</v>
      </c>
      <c r="I285" s="302">
        <v>0.71057912611241436</v>
      </c>
      <c r="J285" s="302">
        <f>SUM(G285:I285)</f>
        <v>12.37878227342895</v>
      </c>
      <c r="K285" s="303"/>
      <c r="L285" s="302">
        <v>8.364357566611746</v>
      </c>
      <c r="M285" s="302">
        <v>0.67181300855214665</v>
      </c>
      <c r="N285" s="302">
        <v>0.83343283673145352</v>
      </c>
      <c r="O285" s="302">
        <f t="shared" si="135"/>
        <v>9.869603411895346</v>
      </c>
    </row>
    <row r="286" spans="1:15" s="236" customFormat="1" x14ac:dyDescent="0.3">
      <c r="A286" s="237" t="str">
        <f>name!E$9</f>
        <v>Caring, leisure and other service occupations</v>
      </c>
      <c r="B286" s="302">
        <v>0.53392369296684727</v>
      </c>
      <c r="C286" s="302">
        <v>0.23207089288457761</v>
      </c>
      <c r="D286" s="302">
        <v>7.3412923111188438E-2</v>
      </c>
      <c r="E286" s="302">
        <f t="shared" si="133"/>
        <v>0.83940750896261329</v>
      </c>
      <c r="F286" s="303"/>
      <c r="G286" s="302">
        <v>0.52973178910343222</v>
      </c>
      <c r="H286" s="302">
        <v>0.20663772819285242</v>
      </c>
      <c r="I286" s="302">
        <v>9.5245859204875688E-2</v>
      </c>
      <c r="J286" s="302">
        <f t="shared" ref="J286:J289" si="136">SUM(G286:I286)</f>
        <v>0.83161537650116035</v>
      </c>
      <c r="K286" s="303"/>
      <c r="L286" s="302">
        <v>0.45165146723186184</v>
      </c>
      <c r="M286" s="302">
        <v>0.1250273349214559</v>
      </c>
      <c r="N286" s="302">
        <v>0.14957642899535004</v>
      </c>
      <c r="O286" s="302">
        <f t="shared" si="135"/>
        <v>0.72625523114866786</v>
      </c>
    </row>
    <row r="287" spans="1:15" s="236" customFormat="1" x14ac:dyDescent="0.3">
      <c r="A287" s="237" t="str">
        <f>name!E$10</f>
        <v>Sales and customer service occupations</v>
      </c>
      <c r="B287" s="302">
        <v>2.1049709281171762</v>
      </c>
      <c r="C287" s="302">
        <v>0.88229024684358337</v>
      </c>
      <c r="D287" s="302">
        <v>0.14420843126218033</v>
      </c>
      <c r="E287" s="302">
        <f t="shared" si="133"/>
        <v>3.1314696062229403</v>
      </c>
      <c r="F287" s="303"/>
      <c r="G287" s="302">
        <v>2.1072253516480117</v>
      </c>
      <c r="H287" s="302">
        <v>0.97783268064251871</v>
      </c>
      <c r="I287" s="302">
        <v>0.12533871893781082</v>
      </c>
      <c r="J287" s="302">
        <f t="shared" si="136"/>
        <v>3.2103967512283411</v>
      </c>
      <c r="K287" s="303"/>
      <c r="L287" s="302">
        <v>2.0129992018258616</v>
      </c>
      <c r="M287" s="302">
        <v>1.3063391035929466</v>
      </c>
      <c r="N287" s="302">
        <v>0.1057212647975726</v>
      </c>
      <c r="O287" s="302">
        <f t="shared" si="135"/>
        <v>3.4250595702163809</v>
      </c>
    </row>
    <row r="288" spans="1:15" s="236" customFormat="1" x14ac:dyDescent="0.3">
      <c r="A288" s="237" t="str">
        <f>name!E$11</f>
        <v>Process, plant and machine operatives</v>
      </c>
      <c r="B288" s="302">
        <v>7.2707341473990654</v>
      </c>
      <c r="C288" s="302">
        <v>1.7765957785290396</v>
      </c>
      <c r="D288" s="302">
        <v>0.30834066160845286</v>
      </c>
      <c r="E288" s="302">
        <f t="shared" si="133"/>
        <v>9.355670587536558</v>
      </c>
      <c r="F288" s="303"/>
      <c r="G288" s="302">
        <v>5.0634420081876419</v>
      </c>
      <c r="H288" s="302">
        <v>1.3008572250488326</v>
      </c>
      <c r="I288" s="302">
        <v>0.42846448865378234</v>
      </c>
      <c r="J288" s="302">
        <f t="shared" si="136"/>
        <v>6.7927637218902568</v>
      </c>
      <c r="K288" s="303"/>
      <c r="L288" s="302">
        <v>4.2582097600235045</v>
      </c>
      <c r="M288" s="302">
        <v>1.1534464672969056</v>
      </c>
      <c r="N288" s="302">
        <v>0.55083804377565415</v>
      </c>
      <c r="O288" s="302">
        <f t="shared" si="135"/>
        <v>5.9624942710960642</v>
      </c>
    </row>
    <row r="289" spans="1:15" s="236" customFormat="1" x14ac:dyDescent="0.3">
      <c r="A289" s="237" t="str">
        <f>name!E$12</f>
        <v>Elementary occupations</v>
      </c>
      <c r="B289" s="302">
        <v>2.2245639377067965</v>
      </c>
      <c r="C289" s="302">
        <v>0.798755192919123</v>
      </c>
      <c r="D289" s="302">
        <v>0.21218827305737931</v>
      </c>
      <c r="E289" s="302">
        <f t="shared" si="133"/>
        <v>3.2355074036832989</v>
      </c>
      <c r="F289" s="303"/>
      <c r="G289" s="302">
        <v>1.5820765956558596</v>
      </c>
      <c r="H289" s="302">
        <v>0.50879956281011263</v>
      </c>
      <c r="I289" s="302">
        <v>0.25623305157790993</v>
      </c>
      <c r="J289" s="302">
        <f t="shared" si="136"/>
        <v>2.347109210043882</v>
      </c>
      <c r="K289" s="303"/>
      <c r="L289" s="302">
        <v>0.9450746302299301</v>
      </c>
      <c r="M289" s="302">
        <v>0.32458674995065018</v>
      </c>
      <c r="N289" s="302">
        <v>0.30722620802369216</v>
      </c>
      <c r="O289" s="302">
        <f t="shared" si="135"/>
        <v>1.5768875882042726</v>
      </c>
    </row>
    <row r="290" spans="1:15" s="236" customFormat="1" x14ac:dyDescent="0.3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3">
      <c r="A291" s="244" t="s">
        <v>32</v>
      </c>
      <c r="B291" s="311">
        <f>SUM(B281:B289)</f>
        <v>84.677999999557542</v>
      </c>
      <c r="C291" s="311">
        <f t="shared" ref="C291:E291" si="137">SUM(C281:C289)</f>
        <v>8.8940000000778774</v>
      </c>
      <c r="D291" s="311">
        <f t="shared" si="137"/>
        <v>4.765000000066741</v>
      </c>
      <c r="E291" s="311">
        <f t="shared" si="137"/>
        <v>98.336999999702158</v>
      </c>
      <c r="F291" s="311"/>
      <c r="G291" s="311">
        <f t="shared" ref="G291:J291" si="138">SUM(G281:G289)</f>
        <v>91.166999999626626</v>
      </c>
      <c r="H291" s="311">
        <f t="shared" si="138"/>
        <v>8.1310000000407552</v>
      </c>
      <c r="I291" s="311">
        <f t="shared" si="138"/>
        <v>4.9680000000222329</v>
      </c>
      <c r="J291" s="311">
        <f t="shared" si="138"/>
        <v>104.26599999968961</v>
      </c>
      <c r="K291" s="311"/>
      <c r="L291" s="311">
        <f t="shared" ref="L291:O291" si="139">SUM(L281:L289)</f>
        <v>80.624000000083058</v>
      </c>
      <c r="M291" s="311">
        <f t="shared" si="139"/>
        <v>6.8699999999720047</v>
      </c>
      <c r="N291" s="311">
        <f t="shared" si="139"/>
        <v>4.6840000000604647</v>
      </c>
      <c r="O291" s="311">
        <f t="shared" si="139"/>
        <v>92.178000000115532</v>
      </c>
    </row>
    <row r="292" spans="1:15" s="236" customFormat="1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3">
      <c r="A295" s="241" t="str">
        <f>name!A20</f>
        <v>Electrical equipment</v>
      </c>
      <c r="B295" s="375">
        <f>$B$6</f>
        <v>2015</v>
      </c>
      <c r="C295" s="375"/>
      <c r="D295" s="375"/>
      <c r="E295" s="375"/>
      <c r="F295" s="263"/>
      <c r="G295" s="375">
        <f>$G$6</f>
        <v>2020</v>
      </c>
      <c r="H295" s="375"/>
      <c r="I295" s="375"/>
      <c r="J295" s="375"/>
      <c r="K295" s="263"/>
      <c r="L295" s="375">
        <f>$L$6</f>
        <v>2035</v>
      </c>
      <c r="M295" s="375"/>
      <c r="N295" s="375"/>
      <c r="O295" s="375"/>
    </row>
    <row r="296" spans="1:15" s="236" customFormat="1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3">
      <c r="A298" s="237" t="str">
        <f>name!E$4</f>
        <v>Managers, directors and senior officials</v>
      </c>
      <c r="B298" s="302">
        <v>9.4469371741145984</v>
      </c>
      <c r="C298" s="302">
        <v>0.50812147664710428</v>
      </c>
      <c r="D298" s="302">
        <v>0.58092407070056706</v>
      </c>
      <c r="E298" s="302">
        <f>SUM(B298:D298)</f>
        <v>10.53598272146227</v>
      </c>
      <c r="F298" s="303"/>
      <c r="G298" s="302">
        <v>8.2729225888286191</v>
      </c>
      <c r="H298" s="302">
        <v>0.90350986037533598</v>
      </c>
      <c r="I298" s="302">
        <v>1.0927947720279543</v>
      </c>
      <c r="J298" s="302">
        <f>SUM(G298:I298)</f>
        <v>10.269227221231908</v>
      </c>
      <c r="K298" s="303"/>
      <c r="L298" s="302">
        <v>7.5691644864348691</v>
      </c>
      <c r="M298" s="302">
        <v>1.0807559911121634</v>
      </c>
      <c r="N298" s="302">
        <v>1.1861299454317555</v>
      </c>
      <c r="O298" s="302">
        <f>SUM(L298:N298)</f>
        <v>9.8360504229787882</v>
      </c>
    </row>
    <row r="299" spans="1:15" s="236" customFormat="1" x14ac:dyDescent="0.3">
      <c r="A299" s="237" t="str">
        <f>name!E$5</f>
        <v>Professional occupations</v>
      </c>
      <c r="B299" s="302">
        <v>12.392442312711594</v>
      </c>
      <c r="C299" s="302">
        <v>0.47796697989035813</v>
      </c>
      <c r="D299" s="302">
        <v>0.27632165439536893</v>
      </c>
      <c r="E299" s="302">
        <f t="shared" ref="E299:E306" si="140">SUM(B299:D299)</f>
        <v>13.146730946997321</v>
      </c>
      <c r="F299" s="303"/>
      <c r="G299" s="302">
        <v>11.819089181409474</v>
      </c>
      <c r="H299" s="302">
        <v>0.866865018956674</v>
      </c>
      <c r="I299" s="302">
        <v>0.46458458102743122</v>
      </c>
      <c r="J299" s="302">
        <f t="shared" ref="J299:J301" si="141">SUM(G299:I299)</f>
        <v>13.150538781393578</v>
      </c>
      <c r="K299" s="303"/>
      <c r="L299" s="302">
        <v>12.443036364844049</v>
      </c>
      <c r="M299" s="302">
        <v>1.0761502480131482</v>
      </c>
      <c r="N299" s="302">
        <v>0.42850318299934009</v>
      </c>
      <c r="O299" s="302">
        <f t="shared" ref="O299:O306" si="142">SUM(L299:N299)</f>
        <v>13.947689795856537</v>
      </c>
    </row>
    <row r="300" spans="1:15" s="236" customFormat="1" x14ac:dyDescent="0.3">
      <c r="A300" s="237" t="str">
        <f>name!E$6</f>
        <v>Associate professional occupations</v>
      </c>
      <c r="B300" s="302">
        <v>8.8979519289174576</v>
      </c>
      <c r="C300" s="302">
        <v>0.59594792476160696</v>
      </c>
      <c r="D300" s="302">
        <v>0.20652522780057903</v>
      </c>
      <c r="E300" s="302">
        <f t="shared" si="140"/>
        <v>9.7004250814796436</v>
      </c>
      <c r="F300" s="303"/>
      <c r="G300" s="302">
        <v>7.9940163532099868</v>
      </c>
      <c r="H300" s="302">
        <v>0.8407899040018344</v>
      </c>
      <c r="I300" s="302">
        <v>0.27286320625933502</v>
      </c>
      <c r="J300" s="302">
        <f t="shared" si="141"/>
        <v>9.1076694634711579</v>
      </c>
      <c r="K300" s="303"/>
      <c r="L300" s="302">
        <v>6.9178759888809456</v>
      </c>
      <c r="M300" s="302">
        <v>0.85022932490221481</v>
      </c>
      <c r="N300" s="302">
        <v>0.27068813656294627</v>
      </c>
      <c r="O300" s="302">
        <f t="shared" si="142"/>
        <v>8.0387934503461072</v>
      </c>
    </row>
    <row r="301" spans="1:15" s="236" customFormat="1" x14ac:dyDescent="0.3">
      <c r="A301" s="237" t="str">
        <f>name!E$7</f>
        <v>Administrative and secretarial occupations</v>
      </c>
      <c r="B301" s="302">
        <v>5.1178652866208534</v>
      </c>
      <c r="C301" s="302">
        <v>1.572087057046621</v>
      </c>
      <c r="D301" s="302">
        <v>0.13513663920281216</v>
      </c>
      <c r="E301" s="302">
        <f t="shared" si="140"/>
        <v>6.8250889828702874</v>
      </c>
      <c r="F301" s="303"/>
      <c r="G301" s="302">
        <v>3.9320617776379123</v>
      </c>
      <c r="H301" s="302">
        <v>1.5939667867770062</v>
      </c>
      <c r="I301" s="302">
        <v>0.38014273939760573</v>
      </c>
      <c r="J301" s="302">
        <f t="shared" si="141"/>
        <v>5.9061713038125241</v>
      </c>
      <c r="K301" s="303"/>
      <c r="L301" s="302">
        <v>3.0922472980832558</v>
      </c>
      <c r="M301" s="302">
        <v>1.3690473568119685</v>
      </c>
      <c r="N301" s="302">
        <v>0.30032951930586593</v>
      </c>
      <c r="O301" s="302">
        <f t="shared" si="142"/>
        <v>4.7616241742010903</v>
      </c>
    </row>
    <row r="302" spans="1:15" s="236" customFormat="1" x14ac:dyDescent="0.3">
      <c r="A302" s="237" t="str">
        <f>name!E$8</f>
        <v>Skilled trades occupations</v>
      </c>
      <c r="B302" s="302">
        <v>15.343468694912218</v>
      </c>
      <c r="C302" s="302">
        <v>0.55870161232663618</v>
      </c>
      <c r="D302" s="302">
        <v>0.69632200640712538</v>
      </c>
      <c r="E302" s="302">
        <f t="shared" si="140"/>
        <v>16.598492313645981</v>
      </c>
      <c r="F302" s="303"/>
      <c r="G302" s="302">
        <v>9.3376172572789802</v>
      </c>
      <c r="H302" s="302">
        <v>0.5428726730776392</v>
      </c>
      <c r="I302" s="302">
        <v>0.41538864372074064</v>
      </c>
      <c r="J302" s="302">
        <f>SUM(G302:I302)</f>
        <v>10.29587857407736</v>
      </c>
      <c r="K302" s="303"/>
      <c r="L302" s="302">
        <v>7.4191456144030106</v>
      </c>
      <c r="M302" s="302">
        <v>0.53789148055984726</v>
      </c>
      <c r="N302" s="302">
        <v>0.6423007225584354</v>
      </c>
      <c r="O302" s="302">
        <f t="shared" si="142"/>
        <v>8.5993378175212936</v>
      </c>
    </row>
    <row r="303" spans="1:15" s="236" customFormat="1" x14ac:dyDescent="0.3">
      <c r="A303" s="237" t="str">
        <f>name!E$9</f>
        <v>Caring, leisure and other service occupations</v>
      </c>
      <c r="B303" s="302">
        <v>1.0637194612042336</v>
      </c>
      <c r="C303" s="302">
        <v>0.21928087905755028</v>
      </c>
      <c r="D303" s="302">
        <v>7.5127962683741958E-2</v>
      </c>
      <c r="E303" s="302">
        <f t="shared" si="140"/>
        <v>1.3581283029455258</v>
      </c>
      <c r="F303" s="303"/>
      <c r="G303" s="302">
        <v>0.81314699906675247</v>
      </c>
      <c r="H303" s="302">
        <v>0.21039028324285097</v>
      </c>
      <c r="I303" s="302">
        <v>0.27093935131293428</v>
      </c>
      <c r="J303" s="302">
        <f t="shared" ref="J303:J306" si="143">SUM(G303:I303)</f>
        <v>1.2944766336225377</v>
      </c>
      <c r="K303" s="303"/>
      <c r="L303" s="302">
        <v>0.76213662221613387</v>
      </c>
      <c r="M303" s="302">
        <v>0.18396687790138358</v>
      </c>
      <c r="N303" s="302">
        <v>0.40069799307039278</v>
      </c>
      <c r="O303" s="302">
        <f t="shared" si="142"/>
        <v>1.3468014931879102</v>
      </c>
    </row>
    <row r="304" spans="1:15" s="236" customFormat="1" x14ac:dyDescent="0.3">
      <c r="A304" s="237" t="str">
        <f>name!E$10</f>
        <v>Sales and customer service occupations</v>
      </c>
      <c r="B304" s="302">
        <v>1.8667142851294412</v>
      </c>
      <c r="C304" s="302">
        <v>0.47175917472449719</v>
      </c>
      <c r="D304" s="302">
        <v>7.1393871345193066E-2</v>
      </c>
      <c r="E304" s="302">
        <f t="shared" si="140"/>
        <v>2.4098673311991314</v>
      </c>
      <c r="F304" s="303"/>
      <c r="G304" s="302">
        <v>1.4117163467104676</v>
      </c>
      <c r="H304" s="302">
        <v>0.59355799258906072</v>
      </c>
      <c r="I304" s="302">
        <v>0.12810035342702969</v>
      </c>
      <c r="J304" s="302">
        <f t="shared" si="143"/>
        <v>2.1333746927265582</v>
      </c>
      <c r="K304" s="303"/>
      <c r="L304" s="302">
        <v>1.4193633231994076</v>
      </c>
      <c r="M304" s="302">
        <v>0.70917664699759364</v>
      </c>
      <c r="N304" s="302">
        <v>0.15067307364178345</v>
      </c>
      <c r="O304" s="302">
        <f t="shared" si="142"/>
        <v>2.279213043838785</v>
      </c>
    </row>
    <row r="305" spans="1:15" s="236" customFormat="1" x14ac:dyDescent="0.3">
      <c r="A305" s="237" t="str">
        <f>name!E$11</f>
        <v>Process, plant and machine operatives</v>
      </c>
      <c r="B305" s="302">
        <v>10.51472004819882</v>
      </c>
      <c r="C305" s="302">
        <v>0.60931738094176013</v>
      </c>
      <c r="D305" s="302">
        <v>0.18968481509123167</v>
      </c>
      <c r="E305" s="302">
        <f t="shared" si="140"/>
        <v>11.313722244231812</v>
      </c>
      <c r="F305" s="303"/>
      <c r="G305" s="302">
        <v>5.6275198323051887</v>
      </c>
      <c r="H305" s="302">
        <v>0.60718435946803129</v>
      </c>
      <c r="I305" s="302">
        <v>0.29413739364598362</v>
      </c>
      <c r="J305" s="302">
        <f t="shared" si="143"/>
        <v>6.5288415854192037</v>
      </c>
      <c r="K305" s="303"/>
      <c r="L305" s="302">
        <v>5.4114626179491987</v>
      </c>
      <c r="M305" s="302">
        <v>0.76034772799283401</v>
      </c>
      <c r="N305" s="302">
        <v>0.34070997799532565</v>
      </c>
      <c r="O305" s="302">
        <f t="shared" si="142"/>
        <v>6.512520323937359</v>
      </c>
    </row>
    <row r="306" spans="1:15" s="236" customFormat="1" x14ac:dyDescent="0.3">
      <c r="A306" s="237" t="str">
        <f>name!E$12</f>
        <v>Elementary occupations</v>
      </c>
      <c r="B306" s="302">
        <v>3.2831808079216334</v>
      </c>
      <c r="C306" s="302">
        <v>0.3358175146332969</v>
      </c>
      <c r="D306" s="302">
        <v>9.7563752378463639E-2</v>
      </c>
      <c r="E306" s="302">
        <f t="shared" si="140"/>
        <v>3.7165620749333939</v>
      </c>
      <c r="F306" s="303"/>
      <c r="G306" s="302">
        <v>1.8679096633945134</v>
      </c>
      <c r="H306" s="302">
        <v>0.36186312153640121</v>
      </c>
      <c r="I306" s="302">
        <v>0.16604895915668511</v>
      </c>
      <c r="J306" s="302">
        <f t="shared" si="143"/>
        <v>2.3958217440875997</v>
      </c>
      <c r="K306" s="303"/>
      <c r="L306" s="302">
        <v>1.1875676840688787</v>
      </c>
      <c r="M306" s="302">
        <v>0.26143434566479745</v>
      </c>
      <c r="N306" s="302">
        <v>0.13396744841274552</v>
      </c>
      <c r="O306" s="302">
        <f t="shared" si="142"/>
        <v>1.5829694781464216</v>
      </c>
    </row>
    <row r="307" spans="1:15" s="236" customFormat="1" x14ac:dyDescent="0.3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3">
      <c r="A308" s="244" t="s">
        <v>32</v>
      </c>
      <c r="B308" s="311">
        <f>SUM(B298:B306)</f>
        <v>67.926999999730853</v>
      </c>
      <c r="C308" s="311">
        <f t="shared" ref="C308:E308" si="144">SUM(C298:C306)</f>
        <v>5.3490000000294309</v>
      </c>
      <c r="D308" s="311">
        <f t="shared" si="144"/>
        <v>2.3290000000050828</v>
      </c>
      <c r="E308" s="311">
        <f t="shared" si="144"/>
        <v>75.604999999765354</v>
      </c>
      <c r="F308" s="311"/>
      <c r="G308" s="311">
        <f t="shared" ref="G308:J308" si="145">SUM(G298:G306)</f>
        <v>51.075999999841898</v>
      </c>
      <c r="H308" s="311">
        <f t="shared" si="145"/>
        <v>6.5210000000248334</v>
      </c>
      <c r="I308" s="311">
        <f t="shared" si="145"/>
        <v>3.4849999999756993</v>
      </c>
      <c r="J308" s="311">
        <f t="shared" si="145"/>
        <v>61.081999999842431</v>
      </c>
      <c r="K308" s="311"/>
      <c r="L308" s="311">
        <f t="shared" ref="L308:O308" si="146">SUM(L298:L306)</f>
        <v>46.222000000079746</v>
      </c>
      <c r="M308" s="311">
        <f t="shared" si="146"/>
        <v>6.8289999999559514</v>
      </c>
      <c r="N308" s="311">
        <f t="shared" si="146"/>
        <v>3.8539999999785901</v>
      </c>
      <c r="O308" s="311">
        <f t="shared" si="146"/>
        <v>56.905000000014297</v>
      </c>
    </row>
    <row r="309" spans="1:15" s="236" customFormat="1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3">
      <c r="A312" s="241" t="str">
        <f>name!A21</f>
        <v>Machinery n.e.c.</v>
      </c>
      <c r="B312" s="375">
        <f>$B$6</f>
        <v>2015</v>
      </c>
      <c r="C312" s="375"/>
      <c r="D312" s="375"/>
      <c r="E312" s="375"/>
      <c r="F312" s="263"/>
      <c r="G312" s="375">
        <f>$G$6</f>
        <v>2020</v>
      </c>
      <c r="H312" s="375"/>
      <c r="I312" s="375"/>
      <c r="J312" s="375"/>
      <c r="K312" s="263"/>
      <c r="L312" s="375">
        <f>$L$6</f>
        <v>2035</v>
      </c>
      <c r="M312" s="375"/>
      <c r="N312" s="375"/>
      <c r="O312" s="375"/>
    </row>
    <row r="313" spans="1:15" s="236" customFormat="1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3">
      <c r="A315" s="237" t="str">
        <f>name!E$4</f>
        <v>Managers, directors and senior officials</v>
      </c>
      <c r="B315" s="302">
        <v>18.635994545421976</v>
      </c>
      <c r="C315" s="302">
        <v>0.94284760732272677</v>
      </c>
      <c r="D315" s="302">
        <v>2.0444702384378148</v>
      </c>
      <c r="E315" s="302">
        <f>SUM(B315:D315)</f>
        <v>21.623312391182516</v>
      </c>
      <c r="F315" s="303"/>
      <c r="G315" s="302">
        <v>20.750329150598724</v>
      </c>
      <c r="H315" s="302">
        <v>1.6162413704575325</v>
      </c>
      <c r="I315" s="302">
        <v>2.1859261249502056</v>
      </c>
      <c r="J315" s="302">
        <f>SUM(G315:I315)</f>
        <v>24.552496646006464</v>
      </c>
      <c r="K315" s="303"/>
      <c r="L315" s="302">
        <v>19.284225966233617</v>
      </c>
      <c r="M315" s="302">
        <v>1.7170970575334961</v>
      </c>
      <c r="N315" s="302">
        <v>2.0844482737062497</v>
      </c>
      <c r="O315" s="302">
        <f>SUM(L315:N315)</f>
        <v>23.085771297473364</v>
      </c>
    </row>
    <row r="316" spans="1:15" s="236" customFormat="1" x14ac:dyDescent="0.3">
      <c r="A316" s="237" t="str">
        <f>name!E$5</f>
        <v>Professional occupations</v>
      </c>
      <c r="B316" s="302">
        <v>26.785068297083836</v>
      </c>
      <c r="C316" s="302">
        <v>0.66132092930557651</v>
      </c>
      <c r="D316" s="302">
        <v>1.2956529861913655</v>
      </c>
      <c r="E316" s="302">
        <f t="shared" ref="E316:E323" si="147">SUM(B316:D316)</f>
        <v>28.742042212580778</v>
      </c>
      <c r="F316" s="303"/>
      <c r="G316" s="302">
        <v>33.113381739260348</v>
      </c>
      <c r="H316" s="302">
        <v>1.2446202333218463</v>
      </c>
      <c r="I316" s="302">
        <v>1.1474503716299866</v>
      </c>
      <c r="J316" s="302">
        <f t="shared" ref="J316:J318" si="148">SUM(G316:I316)</f>
        <v>35.505452344212181</v>
      </c>
      <c r="K316" s="303"/>
      <c r="L316" s="302">
        <v>34.485651405476638</v>
      </c>
      <c r="M316" s="302">
        <v>1.3406598941895178</v>
      </c>
      <c r="N316" s="302">
        <v>0.7576753713381108</v>
      </c>
      <c r="O316" s="302">
        <f t="shared" ref="O316:O323" si="149">SUM(L316:N316)</f>
        <v>36.583986671004268</v>
      </c>
    </row>
    <row r="317" spans="1:15" s="236" customFormat="1" x14ac:dyDescent="0.3">
      <c r="A317" s="237" t="str">
        <f>name!E$6</f>
        <v>Associate professional occupations</v>
      </c>
      <c r="B317" s="302">
        <v>16.754215620211287</v>
      </c>
      <c r="C317" s="302">
        <v>0.60518857441624607</v>
      </c>
      <c r="D317" s="302">
        <v>0.62585247632802132</v>
      </c>
      <c r="E317" s="302">
        <f t="shared" si="147"/>
        <v>17.985256670955554</v>
      </c>
      <c r="F317" s="303"/>
      <c r="G317" s="302">
        <v>19.634612676028844</v>
      </c>
      <c r="H317" s="302">
        <v>0.88887798337849067</v>
      </c>
      <c r="I317" s="302">
        <v>0.51635778167800783</v>
      </c>
      <c r="J317" s="302">
        <f t="shared" si="148"/>
        <v>21.039848441085343</v>
      </c>
      <c r="K317" s="303"/>
      <c r="L317" s="302">
        <v>16.438212333827561</v>
      </c>
      <c r="M317" s="302">
        <v>0.82489819523378927</v>
      </c>
      <c r="N317" s="302">
        <v>0.46164741663267889</v>
      </c>
      <c r="O317" s="302">
        <f t="shared" si="149"/>
        <v>17.72475794569403</v>
      </c>
    </row>
    <row r="318" spans="1:15" s="236" customFormat="1" x14ac:dyDescent="0.3">
      <c r="A318" s="237" t="str">
        <f>name!E$7</f>
        <v>Administrative and secretarial occupations</v>
      </c>
      <c r="B318" s="302">
        <v>8.6009408581425291</v>
      </c>
      <c r="C318" s="302">
        <v>2.4563115390166756</v>
      </c>
      <c r="D318" s="302">
        <v>0.42323455165091856</v>
      </c>
      <c r="E318" s="302">
        <f t="shared" si="147"/>
        <v>11.480486948810123</v>
      </c>
      <c r="F318" s="303"/>
      <c r="G318" s="302">
        <v>9.3504173290754267</v>
      </c>
      <c r="H318" s="302">
        <v>3.0321528679012282</v>
      </c>
      <c r="I318" s="302">
        <v>0.46965517824887743</v>
      </c>
      <c r="J318" s="302">
        <f t="shared" si="148"/>
        <v>12.852225375225533</v>
      </c>
      <c r="K318" s="303"/>
      <c r="L318" s="302">
        <v>7.0234304210133622</v>
      </c>
      <c r="M318" s="302">
        <v>2.2097148915807856</v>
      </c>
      <c r="N318" s="302">
        <v>0.33105440506801442</v>
      </c>
      <c r="O318" s="302">
        <f t="shared" si="149"/>
        <v>9.5641997176621629</v>
      </c>
    </row>
    <row r="319" spans="1:15" s="236" customFormat="1" x14ac:dyDescent="0.3">
      <c r="A319" s="237" t="str">
        <f>name!E$8</f>
        <v>Skilled trades occupations</v>
      </c>
      <c r="B319" s="302">
        <v>39.069548489344122</v>
      </c>
      <c r="C319" s="302">
        <v>0.79556171802127551</v>
      </c>
      <c r="D319" s="302">
        <v>3.4347800955793852</v>
      </c>
      <c r="E319" s="302">
        <f t="shared" si="147"/>
        <v>43.299890302944782</v>
      </c>
      <c r="F319" s="303"/>
      <c r="G319" s="302">
        <v>31.807832159291053</v>
      </c>
      <c r="H319" s="302">
        <v>0.71921170790867184</v>
      </c>
      <c r="I319" s="302">
        <v>2.1304248150211351</v>
      </c>
      <c r="J319" s="302">
        <f>SUM(G319:I319)</f>
        <v>34.657468682220859</v>
      </c>
      <c r="K319" s="303"/>
      <c r="L319" s="302">
        <v>24.689595228040943</v>
      </c>
      <c r="M319" s="302">
        <v>0.70316395945042942</v>
      </c>
      <c r="N319" s="302">
        <v>2.1243863007463899</v>
      </c>
      <c r="O319" s="302">
        <f t="shared" si="149"/>
        <v>27.517145488237762</v>
      </c>
    </row>
    <row r="320" spans="1:15" s="236" customFormat="1" x14ac:dyDescent="0.3">
      <c r="A320" s="237" t="str">
        <f>name!E$9</f>
        <v>Caring, leisure and other service occupations</v>
      </c>
      <c r="B320" s="302">
        <v>1.1322984905739153</v>
      </c>
      <c r="C320" s="302">
        <v>0.37085932117498988</v>
      </c>
      <c r="D320" s="302">
        <v>0.21403979163344858</v>
      </c>
      <c r="E320" s="302">
        <f t="shared" si="147"/>
        <v>1.7171976033823539</v>
      </c>
      <c r="F320" s="303"/>
      <c r="G320" s="302">
        <v>1.0021187672365044</v>
      </c>
      <c r="H320" s="302">
        <v>0.36778874347366963</v>
      </c>
      <c r="I320" s="302">
        <v>0.30380867299005776</v>
      </c>
      <c r="J320" s="302">
        <f t="shared" ref="J320:J323" si="150">SUM(G320:I320)</f>
        <v>1.6737161837002319</v>
      </c>
      <c r="K320" s="303"/>
      <c r="L320" s="302">
        <v>0.81722680953094629</v>
      </c>
      <c r="M320" s="302">
        <v>0.29796757597578294</v>
      </c>
      <c r="N320" s="302">
        <v>0.4526546688237113</v>
      </c>
      <c r="O320" s="302">
        <f t="shared" si="149"/>
        <v>1.5678490543304404</v>
      </c>
    </row>
    <row r="321" spans="1:15" s="236" customFormat="1" x14ac:dyDescent="0.3">
      <c r="A321" s="237" t="str">
        <f>name!E$10</f>
        <v>Sales and customer service occupations</v>
      </c>
      <c r="B321" s="302">
        <v>4.0363080492612848</v>
      </c>
      <c r="C321" s="302">
        <v>0.54676572051620953</v>
      </c>
      <c r="D321" s="302">
        <v>0.24165507945996093</v>
      </c>
      <c r="E321" s="302">
        <f t="shared" si="147"/>
        <v>4.8247288492374549</v>
      </c>
      <c r="F321" s="303"/>
      <c r="G321" s="302">
        <v>4.0075639936615017</v>
      </c>
      <c r="H321" s="302">
        <v>0.74611298449524999</v>
      </c>
      <c r="I321" s="302">
        <v>0.20117535058667493</v>
      </c>
      <c r="J321" s="302">
        <f t="shared" si="150"/>
        <v>4.954852328743427</v>
      </c>
      <c r="K321" s="303"/>
      <c r="L321" s="302">
        <v>3.6629463802096338</v>
      </c>
      <c r="M321" s="302">
        <v>0.90731228287888355</v>
      </c>
      <c r="N321" s="302">
        <v>0.19868032773389141</v>
      </c>
      <c r="O321" s="302">
        <f t="shared" si="149"/>
        <v>4.7689389908224085</v>
      </c>
    </row>
    <row r="322" spans="1:15" s="236" customFormat="1" x14ac:dyDescent="0.3">
      <c r="A322" s="237" t="str">
        <f>name!E$11</f>
        <v>Process, plant and machine operatives</v>
      </c>
      <c r="B322" s="302">
        <v>19.216826558088066</v>
      </c>
      <c r="C322" s="302">
        <v>0.62870861568293424</v>
      </c>
      <c r="D322" s="302">
        <v>0.53651856439666157</v>
      </c>
      <c r="E322" s="302">
        <f t="shared" si="147"/>
        <v>20.382053738167663</v>
      </c>
      <c r="F322" s="303"/>
      <c r="G322" s="302">
        <v>15.22227667053804</v>
      </c>
      <c r="H322" s="302">
        <v>0.77278343740117661</v>
      </c>
      <c r="I322" s="302">
        <v>0.45671962186324777</v>
      </c>
      <c r="J322" s="302">
        <f t="shared" si="150"/>
        <v>16.451779729802464</v>
      </c>
      <c r="K322" s="303"/>
      <c r="L322" s="302">
        <v>15.200969171814119</v>
      </c>
      <c r="M322" s="302">
        <v>0.82319160885728904</v>
      </c>
      <c r="N322" s="302">
        <v>0.54245564904047494</v>
      </c>
      <c r="O322" s="302">
        <f t="shared" si="149"/>
        <v>16.566616429711882</v>
      </c>
    </row>
    <row r="323" spans="1:15" s="236" customFormat="1" x14ac:dyDescent="0.3">
      <c r="A323" s="237" t="str">
        <f>name!E$12</f>
        <v>Elementary occupations</v>
      </c>
      <c r="B323" s="302">
        <v>6.1727990913421742</v>
      </c>
      <c r="C323" s="302">
        <v>0.57643597458901152</v>
      </c>
      <c r="D323" s="302">
        <v>0.40879621632402202</v>
      </c>
      <c r="E323" s="302">
        <f t="shared" si="147"/>
        <v>7.1580312822552079</v>
      </c>
      <c r="F323" s="303"/>
      <c r="G323" s="302">
        <v>4.6584675138660598</v>
      </c>
      <c r="H323" s="302">
        <v>0.65721067170249781</v>
      </c>
      <c r="I323" s="302">
        <v>0.3044820829840455</v>
      </c>
      <c r="J323" s="302">
        <f t="shared" si="150"/>
        <v>5.6201602685526035</v>
      </c>
      <c r="K323" s="303"/>
      <c r="L323" s="302">
        <v>2.973742283975533</v>
      </c>
      <c r="M323" s="302">
        <v>0.42899453426277195</v>
      </c>
      <c r="N323" s="302">
        <v>0.31099758685682061</v>
      </c>
      <c r="O323" s="302">
        <f t="shared" si="149"/>
        <v>3.7137344050951255</v>
      </c>
    </row>
    <row r="324" spans="1:15" s="236" customFormat="1" x14ac:dyDescent="0.3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3">
      <c r="A325" s="244" t="s">
        <v>32</v>
      </c>
      <c r="B325" s="311">
        <f>SUM(B315:B323)</f>
        <v>140.40399999946919</v>
      </c>
      <c r="C325" s="311">
        <f t="shared" ref="C325:E325" si="151">SUM(C315:C323)</f>
        <v>7.5840000000456449</v>
      </c>
      <c r="D325" s="311">
        <f t="shared" si="151"/>
        <v>9.2250000000015984</v>
      </c>
      <c r="E325" s="311">
        <f t="shared" si="151"/>
        <v>157.2129999995164</v>
      </c>
      <c r="F325" s="311"/>
      <c r="G325" s="311">
        <f t="shared" ref="G325:J325" si="152">SUM(G315:G323)</f>
        <v>139.54699999955653</v>
      </c>
      <c r="H325" s="311">
        <f t="shared" si="152"/>
        <v>10.045000000040362</v>
      </c>
      <c r="I325" s="311">
        <f t="shared" si="152"/>
        <v>7.7159999999522393</v>
      </c>
      <c r="J325" s="311">
        <f t="shared" si="152"/>
        <v>157.30799999954911</v>
      </c>
      <c r="K325" s="311"/>
      <c r="L325" s="311">
        <f t="shared" ref="L325:O325" si="153">SUM(L315:L323)</f>
        <v>124.57600000012236</v>
      </c>
      <c r="M325" s="311">
        <f t="shared" si="153"/>
        <v>9.2529999999627464</v>
      </c>
      <c r="N325" s="311">
        <f t="shared" si="153"/>
        <v>7.2639999999463409</v>
      </c>
      <c r="O325" s="311">
        <f t="shared" si="153"/>
        <v>141.09300000003142</v>
      </c>
    </row>
    <row r="326" spans="1:15" s="236" customFormat="1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3">
      <c r="A329" s="241" t="str">
        <f>name!A22</f>
        <v>Motor vehicles, etc</v>
      </c>
      <c r="B329" s="375">
        <f>$B$6</f>
        <v>2015</v>
      </c>
      <c r="C329" s="375"/>
      <c r="D329" s="375"/>
      <c r="E329" s="375"/>
      <c r="F329" s="263"/>
      <c r="G329" s="375">
        <f>$G$6</f>
        <v>2020</v>
      </c>
      <c r="H329" s="375"/>
      <c r="I329" s="375"/>
      <c r="J329" s="375"/>
      <c r="K329" s="263"/>
      <c r="L329" s="375">
        <f>$L$6</f>
        <v>2035</v>
      </c>
      <c r="M329" s="375"/>
      <c r="N329" s="375"/>
      <c r="O329" s="375"/>
    </row>
    <row r="330" spans="1:15" s="236" customFormat="1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3">
      <c r="A332" s="237" t="str">
        <f>name!E$4</f>
        <v>Managers, directors and senior officials</v>
      </c>
      <c r="B332" s="302">
        <v>8.9866246316966034</v>
      </c>
      <c r="C332" s="302">
        <v>0.18265480439267551</v>
      </c>
      <c r="D332" s="302">
        <v>0.88050275989223803</v>
      </c>
      <c r="E332" s="302">
        <f>SUM(B332:D332)</f>
        <v>10.049782195981518</v>
      </c>
      <c r="F332" s="303"/>
      <c r="G332" s="302">
        <v>9.8447601832969269</v>
      </c>
      <c r="H332" s="302">
        <v>0.4747363744836921</v>
      </c>
      <c r="I332" s="302">
        <v>0.75625138061981034</v>
      </c>
      <c r="J332" s="302">
        <f>SUM(G332:I332)</f>
        <v>11.075747938400429</v>
      </c>
      <c r="K332" s="303"/>
      <c r="L332" s="302">
        <v>8.7740744633508072</v>
      </c>
      <c r="M332" s="302">
        <v>0.48103281633713985</v>
      </c>
      <c r="N332" s="302">
        <v>0.68017823033716041</v>
      </c>
      <c r="O332" s="302">
        <f>SUM(L332:N332)</f>
        <v>9.935285510025107</v>
      </c>
    </row>
    <row r="333" spans="1:15" s="236" customFormat="1" x14ac:dyDescent="0.3">
      <c r="A333" s="237" t="str">
        <f>name!E$5</f>
        <v>Professional occupations</v>
      </c>
      <c r="B333" s="302">
        <v>23.775923481095347</v>
      </c>
      <c r="C333" s="302">
        <v>0.36565181612286246</v>
      </c>
      <c r="D333" s="302">
        <v>0.54634828457793294</v>
      </c>
      <c r="E333" s="302">
        <f t="shared" ref="E333:E340" si="154">SUM(B333:D333)</f>
        <v>24.687923581796145</v>
      </c>
      <c r="F333" s="303"/>
      <c r="G333" s="302">
        <v>28.668169701388962</v>
      </c>
      <c r="H333" s="302">
        <v>0.68262674244089805</v>
      </c>
      <c r="I333" s="302">
        <v>0.38058098590225498</v>
      </c>
      <c r="J333" s="302">
        <f t="shared" ref="J333:J335" si="155">SUM(G333:I333)</f>
        <v>29.731377429732117</v>
      </c>
      <c r="K333" s="303"/>
      <c r="L333" s="302">
        <v>30.639866638818539</v>
      </c>
      <c r="M333" s="302">
        <v>0.63724994985844363</v>
      </c>
      <c r="N333" s="302">
        <v>0.25707403978844379</v>
      </c>
      <c r="O333" s="302">
        <f t="shared" ref="O333:O340" si="156">SUM(L333:N333)</f>
        <v>31.534190628465424</v>
      </c>
    </row>
    <row r="334" spans="1:15" s="236" customFormat="1" x14ac:dyDescent="0.3">
      <c r="A334" s="237" t="str">
        <f>name!E$6</f>
        <v>Associate professional occupations</v>
      </c>
      <c r="B334" s="302">
        <v>9.7906486722295334</v>
      </c>
      <c r="C334" s="302">
        <v>0.40259691032590661</v>
      </c>
      <c r="D334" s="302">
        <v>0.34981785243309649</v>
      </c>
      <c r="E334" s="302">
        <f t="shared" si="154"/>
        <v>10.543063434988536</v>
      </c>
      <c r="F334" s="303"/>
      <c r="G334" s="302">
        <v>11.832116618701827</v>
      </c>
      <c r="H334" s="302">
        <v>0.60102882694911997</v>
      </c>
      <c r="I334" s="302">
        <v>0.2413945425022922</v>
      </c>
      <c r="J334" s="302">
        <f t="shared" si="155"/>
        <v>12.674539988153239</v>
      </c>
      <c r="K334" s="303"/>
      <c r="L334" s="302">
        <v>9.8027482929136056</v>
      </c>
      <c r="M334" s="302">
        <v>0.48177565545427919</v>
      </c>
      <c r="N334" s="302">
        <v>0.20775963202852779</v>
      </c>
      <c r="O334" s="302">
        <f t="shared" si="156"/>
        <v>10.492283580396414</v>
      </c>
    </row>
    <row r="335" spans="1:15" s="236" customFormat="1" x14ac:dyDescent="0.3">
      <c r="A335" s="237" t="str">
        <f>name!E$7</f>
        <v>Administrative and secretarial occupations</v>
      </c>
      <c r="B335" s="302">
        <v>9.5793895888104377</v>
      </c>
      <c r="C335" s="302">
        <v>0.84703708586959325</v>
      </c>
      <c r="D335" s="302">
        <v>8.9989091403698721E-2</v>
      </c>
      <c r="E335" s="302">
        <f t="shared" si="154"/>
        <v>10.516415766083728</v>
      </c>
      <c r="F335" s="303"/>
      <c r="G335" s="302">
        <v>10.331543683447768</v>
      </c>
      <c r="H335" s="302">
        <v>0.88263299147166197</v>
      </c>
      <c r="I335" s="302">
        <v>6.3021578346845145E-2</v>
      </c>
      <c r="J335" s="302">
        <f t="shared" si="155"/>
        <v>11.277198253266274</v>
      </c>
      <c r="K335" s="303"/>
      <c r="L335" s="302">
        <v>8.7640363346058034</v>
      </c>
      <c r="M335" s="302">
        <v>0.60153664558673248</v>
      </c>
      <c r="N335" s="302">
        <v>4.982000732586634E-2</v>
      </c>
      <c r="O335" s="302">
        <f t="shared" si="156"/>
        <v>9.4153929875184019</v>
      </c>
    </row>
    <row r="336" spans="1:15" s="236" customFormat="1" x14ac:dyDescent="0.3">
      <c r="A336" s="237" t="str">
        <f>name!E$8</f>
        <v>Skilled trades occupations</v>
      </c>
      <c r="B336" s="302">
        <v>35.055452355598604</v>
      </c>
      <c r="C336" s="302">
        <v>0.31568282550499677</v>
      </c>
      <c r="D336" s="302">
        <v>1.0009708362531635</v>
      </c>
      <c r="E336" s="302">
        <f t="shared" si="154"/>
        <v>36.372106017356771</v>
      </c>
      <c r="F336" s="303"/>
      <c r="G336" s="302">
        <v>28.593607227491731</v>
      </c>
      <c r="H336" s="302">
        <v>0.60048945897790151</v>
      </c>
      <c r="I336" s="302">
        <v>0.58484132465993977</v>
      </c>
      <c r="J336" s="302">
        <f>SUM(G336:I336)</f>
        <v>29.778938011129572</v>
      </c>
      <c r="K336" s="303"/>
      <c r="L336" s="302">
        <v>22.547193670946793</v>
      </c>
      <c r="M336" s="302">
        <v>0.63846757307973434</v>
      </c>
      <c r="N336" s="302">
        <v>0.61059084690595944</v>
      </c>
      <c r="O336" s="302">
        <f t="shared" si="156"/>
        <v>23.796252090932487</v>
      </c>
    </row>
    <row r="337" spans="1:15" s="236" customFormat="1" x14ac:dyDescent="0.3">
      <c r="A337" s="237" t="str">
        <f>name!E$9</f>
        <v>Caring, leisure and other service occupations</v>
      </c>
      <c r="B337" s="302">
        <v>1.4951910249510021</v>
      </c>
      <c r="C337" s="302">
        <v>0.27170538848363968</v>
      </c>
      <c r="D337" s="302">
        <v>9.5246074238591064E-2</v>
      </c>
      <c r="E337" s="302">
        <f t="shared" si="154"/>
        <v>1.8621424876732326</v>
      </c>
      <c r="F337" s="303"/>
      <c r="G337" s="302">
        <v>1.5375245050782169</v>
      </c>
      <c r="H337" s="302">
        <v>0.5660936643801614</v>
      </c>
      <c r="I337" s="302">
        <v>8.9848114709724008E-2</v>
      </c>
      <c r="J337" s="302">
        <f t="shared" ref="J337:J340" si="157">SUM(G337:I337)</f>
        <v>2.1934662841681023</v>
      </c>
      <c r="K337" s="303"/>
      <c r="L337" s="302">
        <v>1.8268388020367408</v>
      </c>
      <c r="M337" s="302">
        <v>0.55685227702099094</v>
      </c>
      <c r="N337" s="302">
        <v>0.13835696373470291</v>
      </c>
      <c r="O337" s="302">
        <f t="shared" si="156"/>
        <v>2.5220480427924348</v>
      </c>
    </row>
    <row r="338" spans="1:15" s="236" customFormat="1" x14ac:dyDescent="0.3">
      <c r="A338" s="237" t="str">
        <f>name!E$10</f>
        <v>Sales and customer service occupations</v>
      </c>
      <c r="B338" s="302">
        <v>2.7560260652441793</v>
      </c>
      <c r="C338" s="302">
        <v>0.26704040860491024</v>
      </c>
      <c r="D338" s="302">
        <v>7.6587302105125044E-2</v>
      </c>
      <c r="E338" s="302">
        <f t="shared" si="154"/>
        <v>3.0996537759542142</v>
      </c>
      <c r="F338" s="303"/>
      <c r="G338" s="302">
        <v>2.6188379141069551</v>
      </c>
      <c r="H338" s="302">
        <v>0.44122778182061245</v>
      </c>
      <c r="I338" s="302">
        <v>4.3997857357843541E-2</v>
      </c>
      <c r="J338" s="302">
        <f t="shared" si="157"/>
        <v>3.1040635532854108</v>
      </c>
      <c r="K338" s="303"/>
      <c r="L338" s="302">
        <v>2.6721374350007991</v>
      </c>
      <c r="M338" s="302">
        <v>0.43448548611395382</v>
      </c>
      <c r="N338" s="302">
        <v>3.6006158864033785E-2</v>
      </c>
      <c r="O338" s="302">
        <f t="shared" si="156"/>
        <v>3.142629079978787</v>
      </c>
    </row>
    <row r="339" spans="1:15" s="236" customFormat="1" x14ac:dyDescent="0.3">
      <c r="A339" s="237" t="str">
        <f>name!E$11</f>
        <v>Process, plant and machine operatives</v>
      </c>
      <c r="B339" s="302">
        <v>31.119276840944725</v>
      </c>
      <c r="C339" s="302">
        <v>0.49277779532106458</v>
      </c>
      <c r="D339" s="302">
        <v>0.15356917759389385</v>
      </c>
      <c r="E339" s="302">
        <f t="shared" si="154"/>
        <v>31.765623813859683</v>
      </c>
      <c r="F339" s="303"/>
      <c r="G339" s="302">
        <v>24.155413933592804</v>
      </c>
      <c r="H339" s="302">
        <v>0.85571227248022275</v>
      </c>
      <c r="I339" s="302">
        <v>0.13475936150362336</v>
      </c>
      <c r="J339" s="302">
        <f t="shared" si="157"/>
        <v>25.145885567576649</v>
      </c>
      <c r="K339" s="303"/>
      <c r="L339" s="302">
        <v>25.101378111464637</v>
      </c>
      <c r="M339" s="302">
        <v>0.81905520536815268</v>
      </c>
      <c r="N339" s="302">
        <v>0.12747779091547459</v>
      </c>
      <c r="O339" s="302">
        <f t="shared" si="156"/>
        <v>26.047911107748263</v>
      </c>
    </row>
    <row r="340" spans="1:15" s="236" customFormat="1" x14ac:dyDescent="0.3">
      <c r="A340" s="237" t="str">
        <f>name!E$12</f>
        <v>Elementary occupations</v>
      </c>
      <c r="B340" s="302">
        <v>6.1594673391903143</v>
      </c>
      <c r="C340" s="302">
        <v>0.42885296542898105</v>
      </c>
      <c r="D340" s="302">
        <v>9.7968621529959748E-2</v>
      </c>
      <c r="E340" s="302">
        <f t="shared" si="154"/>
        <v>6.6862889261492553</v>
      </c>
      <c r="F340" s="303"/>
      <c r="G340" s="302">
        <v>4.7720262323226432</v>
      </c>
      <c r="H340" s="302">
        <v>0.50345188703200361</v>
      </c>
      <c r="I340" s="302">
        <v>5.9304854396434771E-2</v>
      </c>
      <c r="J340" s="302">
        <f t="shared" si="157"/>
        <v>5.3347829737510812</v>
      </c>
      <c r="K340" s="303"/>
      <c r="L340" s="302">
        <v>2.8567262506714326</v>
      </c>
      <c r="M340" s="302">
        <v>0.27054439114370138</v>
      </c>
      <c r="N340" s="302">
        <v>5.2736330105648377E-2</v>
      </c>
      <c r="O340" s="302">
        <f t="shared" si="156"/>
        <v>3.1800069719207826</v>
      </c>
    </row>
    <row r="341" spans="1:15" s="236" customFormat="1" x14ac:dyDescent="0.3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3">
      <c r="A342" s="244" t="s">
        <v>32</v>
      </c>
      <c r="B342" s="311">
        <f>SUM(B332:B340)</f>
        <v>128.71799999976076</v>
      </c>
      <c r="C342" s="311">
        <f t="shared" ref="C342:E342" si="158">SUM(C332:C340)</f>
        <v>3.5740000000546299</v>
      </c>
      <c r="D342" s="311">
        <f t="shared" si="158"/>
        <v>3.2910000000276995</v>
      </c>
      <c r="E342" s="311">
        <f t="shared" si="158"/>
        <v>135.58299999984308</v>
      </c>
      <c r="F342" s="311"/>
      <c r="G342" s="311">
        <f t="shared" ref="G342:J342" si="159">SUM(G332:G340)</f>
        <v>122.35399999942783</v>
      </c>
      <c r="H342" s="311">
        <f t="shared" si="159"/>
        <v>5.6080000000362737</v>
      </c>
      <c r="I342" s="311">
        <f t="shared" si="159"/>
        <v>2.3539999999987677</v>
      </c>
      <c r="J342" s="311">
        <f t="shared" si="159"/>
        <v>130.31599999946289</v>
      </c>
      <c r="K342" s="311"/>
      <c r="L342" s="311">
        <f t="shared" ref="L342:O342" si="160">SUM(L332:L340)</f>
        <v>112.98499999980918</v>
      </c>
      <c r="M342" s="311">
        <f t="shared" si="160"/>
        <v>4.9209999999631284</v>
      </c>
      <c r="N342" s="311">
        <f t="shared" si="160"/>
        <v>2.1600000000058177</v>
      </c>
      <c r="O342" s="311">
        <f t="shared" si="160"/>
        <v>120.06599999977811</v>
      </c>
    </row>
    <row r="343" spans="1:15" s="236" customFormat="1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3">
      <c r="A346" s="241" t="str">
        <f>name!A23</f>
        <v>Other transport equipment</v>
      </c>
      <c r="B346" s="375">
        <f>$B$6</f>
        <v>2015</v>
      </c>
      <c r="C346" s="375"/>
      <c r="D346" s="375"/>
      <c r="E346" s="375"/>
      <c r="F346" s="263"/>
      <c r="G346" s="375">
        <f>$G$6</f>
        <v>2020</v>
      </c>
      <c r="H346" s="375"/>
      <c r="I346" s="375"/>
      <c r="J346" s="375"/>
      <c r="K346" s="263"/>
      <c r="L346" s="375">
        <f>$L$6</f>
        <v>2035</v>
      </c>
      <c r="M346" s="375"/>
      <c r="N346" s="375"/>
      <c r="O346" s="375"/>
    </row>
    <row r="347" spans="1:15" s="236" customFormat="1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3">
      <c r="A349" s="237" t="str">
        <f>name!E$4</f>
        <v>Managers, directors and senior officials</v>
      </c>
      <c r="B349" s="302">
        <v>9.5755507281522068</v>
      </c>
      <c r="C349" s="302">
        <v>0.17831355928620254</v>
      </c>
      <c r="D349" s="302">
        <v>0.25542665883546156</v>
      </c>
      <c r="E349" s="302">
        <f>SUM(B349:D349)</f>
        <v>10.00929094627387</v>
      </c>
      <c r="F349" s="303"/>
      <c r="G349" s="302">
        <v>10.544997217585628</v>
      </c>
      <c r="H349" s="302">
        <v>0.62443463324152404</v>
      </c>
      <c r="I349" s="302">
        <v>0.65075046489933019</v>
      </c>
      <c r="J349" s="302">
        <f>SUM(G349:I349)</f>
        <v>11.820182315726482</v>
      </c>
      <c r="K349" s="303"/>
      <c r="L349" s="302">
        <v>8.9433640539581436</v>
      </c>
      <c r="M349" s="302">
        <v>0.55604398176115089</v>
      </c>
      <c r="N349" s="302">
        <v>0.58676924795937235</v>
      </c>
      <c r="O349" s="302">
        <f>SUM(L349:N349)</f>
        <v>10.086177283678667</v>
      </c>
    </row>
    <row r="350" spans="1:15" s="236" customFormat="1" x14ac:dyDescent="0.3">
      <c r="A350" s="237" t="str">
        <f>name!E$5</f>
        <v>Professional occupations</v>
      </c>
      <c r="B350" s="302">
        <v>29.372760327927637</v>
      </c>
      <c r="C350" s="302">
        <v>0.26082266195582066</v>
      </c>
      <c r="D350" s="302">
        <v>0.32620204943981007</v>
      </c>
      <c r="E350" s="302">
        <f t="shared" ref="E350:E357" si="161">SUM(B350:D350)</f>
        <v>29.959785039323268</v>
      </c>
      <c r="F350" s="303"/>
      <c r="G350" s="302">
        <v>35.525682633948264</v>
      </c>
      <c r="H350" s="302">
        <v>0.88815499222418792</v>
      </c>
      <c r="I350" s="302">
        <v>0.74859581903956351</v>
      </c>
      <c r="J350" s="302">
        <f t="shared" ref="J350:J352" si="162">SUM(G350:I350)</f>
        <v>37.162433445212017</v>
      </c>
      <c r="K350" s="303"/>
      <c r="L350" s="302">
        <v>34.273769669269669</v>
      </c>
      <c r="M350" s="302">
        <v>0.76982119252807413</v>
      </c>
      <c r="N350" s="302">
        <v>0.41992293205843301</v>
      </c>
      <c r="O350" s="302">
        <f t="shared" ref="O350:O357" si="163">SUM(L350:N350)</f>
        <v>35.46351379385618</v>
      </c>
    </row>
    <row r="351" spans="1:15" s="236" customFormat="1" x14ac:dyDescent="0.3">
      <c r="A351" s="237" t="str">
        <f>name!E$6</f>
        <v>Associate professional occupations</v>
      </c>
      <c r="B351" s="302">
        <v>11.408720141704674</v>
      </c>
      <c r="C351" s="302">
        <v>0.13375669437085558</v>
      </c>
      <c r="D351" s="302">
        <v>0.1793278356707966</v>
      </c>
      <c r="E351" s="302">
        <f t="shared" si="161"/>
        <v>11.721804671746327</v>
      </c>
      <c r="F351" s="303"/>
      <c r="G351" s="302">
        <v>13.662594502872558</v>
      </c>
      <c r="H351" s="302">
        <v>0.40631941583256637</v>
      </c>
      <c r="I351" s="302">
        <v>0.36648227539775219</v>
      </c>
      <c r="J351" s="302">
        <f t="shared" si="162"/>
        <v>14.435396194102877</v>
      </c>
      <c r="K351" s="303"/>
      <c r="L351" s="302">
        <v>10.671070720414024</v>
      </c>
      <c r="M351" s="302">
        <v>0.2985609435390551</v>
      </c>
      <c r="N351" s="302">
        <v>0.29704756410472294</v>
      </c>
      <c r="O351" s="302">
        <f t="shared" si="163"/>
        <v>11.266679228057802</v>
      </c>
    </row>
    <row r="352" spans="1:15" s="236" customFormat="1" x14ac:dyDescent="0.3">
      <c r="A352" s="237" t="str">
        <f>name!E$7</f>
        <v>Administrative and secretarial occupations</v>
      </c>
      <c r="B352" s="302">
        <v>7.8614900057745238</v>
      </c>
      <c r="C352" s="302">
        <v>0.43478536910120241</v>
      </c>
      <c r="D352" s="302">
        <v>5.0300382201431626E-2</v>
      </c>
      <c r="E352" s="302">
        <f t="shared" si="161"/>
        <v>8.3465757570771579</v>
      </c>
      <c r="F352" s="303"/>
      <c r="G352" s="302">
        <v>8.7899282306404807</v>
      </c>
      <c r="H352" s="302">
        <v>1.0541455455884754</v>
      </c>
      <c r="I352" s="302">
        <v>8.4442671182880791E-2</v>
      </c>
      <c r="J352" s="302">
        <f t="shared" si="162"/>
        <v>9.9285164474118375</v>
      </c>
      <c r="K352" s="303"/>
      <c r="L352" s="302">
        <v>7.7291134271215061</v>
      </c>
      <c r="M352" s="302">
        <v>0.81406169454895549</v>
      </c>
      <c r="N352" s="302">
        <v>0.13378320361201088</v>
      </c>
      <c r="O352" s="302">
        <f t="shared" si="163"/>
        <v>8.676958325282472</v>
      </c>
    </row>
    <row r="353" spans="1:15" s="236" customFormat="1" x14ac:dyDescent="0.3">
      <c r="A353" s="237" t="str">
        <f>name!E$8</f>
        <v>Skilled trades occupations</v>
      </c>
      <c r="B353" s="302">
        <v>35.704170119019629</v>
      </c>
      <c r="C353" s="302">
        <v>0.12757239129977319</v>
      </c>
      <c r="D353" s="302">
        <v>1.5544678201478674</v>
      </c>
      <c r="E353" s="302">
        <f t="shared" si="161"/>
        <v>37.386210330467271</v>
      </c>
      <c r="F353" s="303"/>
      <c r="G353" s="302">
        <v>28.821868808839284</v>
      </c>
      <c r="H353" s="302">
        <v>0.22943330600062731</v>
      </c>
      <c r="I353" s="302">
        <v>2.8929706344202968</v>
      </c>
      <c r="J353" s="302">
        <f>SUM(G353:I353)</f>
        <v>31.944272749260207</v>
      </c>
      <c r="K353" s="303"/>
      <c r="L353" s="302">
        <v>20.590694788777064</v>
      </c>
      <c r="M353" s="302">
        <v>0.21909093300354437</v>
      </c>
      <c r="N353" s="302">
        <v>2.4438434281550645</v>
      </c>
      <c r="O353" s="302">
        <f t="shared" si="163"/>
        <v>23.253629149935676</v>
      </c>
    </row>
    <row r="354" spans="1:15" s="236" customFormat="1" x14ac:dyDescent="0.3">
      <c r="A354" s="237" t="str">
        <f>name!E$9</f>
        <v>Caring, leisure and other service occupations</v>
      </c>
      <c r="B354" s="302">
        <v>0.32741594694591392</v>
      </c>
      <c r="C354" s="302">
        <v>2.1910789840135152E-2</v>
      </c>
      <c r="D354" s="302">
        <v>5.4853935710068275E-2</v>
      </c>
      <c r="E354" s="302">
        <f t="shared" si="161"/>
        <v>0.40418067249611733</v>
      </c>
      <c r="F354" s="303"/>
      <c r="G354" s="302">
        <v>0.34809296597841993</v>
      </c>
      <c r="H354" s="302">
        <v>6.5245008075497185E-2</v>
      </c>
      <c r="I354" s="302">
        <v>7.6040697538795318E-2</v>
      </c>
      <c r="J354" s="302">
        <f t="shared" ref="J354:J357" si="164">SUM(G354:I354)</f>
        <v>0.48937867159271248</v>
      </c>
      <c r="K354" s="303"/>
      <c r="L354" s="302">
        <v>0.34630376497660953</v>
      </c>
      <c r="M354" s="302">
        <v>4.7709087188008065E-2</v>
      </c>
      <c r="N354" s="302">
        <v>6.0727768836554161E-2</v>
      </c>
      <c r="O354" s="302">
        <f t="shared" si="163"/>
        <v>0.45474062100117174</v>
      </c>
    </row>
    <row r="355" spans="1:15" s="236" customFormat="1" x14ac:dyDescent="0.3">
      <c r="A355" s="237" t="str">
        <f>name!E$10</f>
        <v>Sales and customer service occupations</v>
      </c>
      <c r="B355" s="302">
        <v>1.3301161414716327</v>
      </c>
      <c r="C355" s="302">
        <v>0.23894537363873813</v>
      </c>
      <c r="D355" s="302">
        <v>0.10970548907884357</v>
      </c>
      <c r="E355" s="302">
        <f t="shared" si="161"/>
        <v>1.6787670041892144</v>
      </c>
      <c r="F355" s="303"/>
      <c r="G355" s="302">
        <v>1.3718026062186572</v>
      </c>
      <c r="H355" s="302">
        <v>0.61326344536468957</v>
      </c>
      <c r="I355" s="302">
        <v>0.16441432318430529</v>
      </c>
      <c r="J355" s="302">
        <f t="shared" si="164"/>
        <v>2.1494803747676521</v>
      </c>
      <c r="K355" s="303"/>
      <c r="L355" s="302">
        <v>1.4674714157663757</v>
      </c>
      <c r="M355" s="302">
        <v>0.63497505127755605</v>
      </c>
      <c r="N355" s="302">
        <v>0.13490199914207099</v>
      </c>
      <c r="O355" s="302">
        <f t="shared" si="163"/>
        <v>2.237348466186003</v>
      </c>
    </row>
    <row r="356" spans="1:15" s="236" customFormat="1" x14ac:dyDescent="0.3">
      <c r="A356" s="237" t="str">
        <f>name!E$11</f>
        <v>Process, plant and machine operatives</v>
      </c>
      <c r="B356" s="302">
        <v>11.556397523217864</v>
      </c>
      <c r="C356" s="302">
        <v>0.16365227361633358</v>
      </c>
      <c r="D356" s="302">
        <v>0.31211256362885875</v>
      </c>
      <c r="E356" s="302">
        <f t="shared" si="161"/>
        <v>12.032162360463056</v>
      </c>
      <c r="F356" s="303"/>
      <c r="G356" s="302">
        <v>8.8412024865247201</v>
      </c>
      <c r="H356" s="302">
        <v>0.33646625945560377</v>
      </c>
      <c r="I356" s="302">
        <v>0.65104054054304084</v>
      </c>
      <c r="J356" s="302">
        <f t="shared" si="164"/>
        <v>9.828709286523365</v>
      </c>
      <c r="K356" s="303"/>
      <c r="L356" s="302">
        <v>8.6224572130802759</v>
      </c>
      <c r="M356" s="302">
        <v>0.37671546830306107</v>
      </c>
      <c r="N356" s="302">
        <v>0.70047222387402597</v>
      </c>
      <c r="O356" s="302">
        <f t="shared" si="163"/>
        <v>9.6996449052573634</v>
      </c>
    </row>
    <row r="357" spans="1:15" s="236" customFormat="1" x14ac:dyDescent="0.3">
      <c r="A357" s="237" t="str">
        <f>name!E$12</f>
        <v>Elementary occupations</v>
      </c>
      <c r="B357" s="302">
        <v>2.2133790653291645</v>
      </c>
      <c r="C357" s="302">
        <v>0.22224088689806973</v>
      </c>
      <c r="D357" s="302">
        <v>0.14860326525298409</v>
      </c>
      <c r="E357" s="302">
        <f t="shared" si="161"/>
        <v>2.5842232174802184</v>
      </c>
      <c r="F357" s="303"/>
      <c r="G357" s="302">
        <v>1.7108305470041409</v>
      </c>
      <c r="H357" s="302">
        <v>0.3595373942441914</v>
      </c>
      <c r="I357" s="302">
        <v>0.22326257373011635</v>
      </c>
      <c r="J357" s="302">
        <f t="shared" si="164"/>
        <v>2.2936305149784486</v>
      </c>
      <c r="K357" s="303"/>
      <c r="L357" s="302">
        <v>0.98675494666918662</v>
      </c>
      <c r="M357" s="302">
        <v>0.23102164783361762</v>
      </c>
      <c r="N357" s="302">
        <v>0.22453163216380984</v>
      </c>
      <c r="O357" s="302">
        <f t="shared" si="163"/>
        <v>1.4423082266666141</v>
      </c>
    </row>
    <row r="358" spans="1:15" s="236" customFormat="1" x14ac:dyDescent="0.3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3">
      <c r="A359" s="244" t="s">
        <v>32</v>
      </c>
      <c r="B359" s="311">
        <f>SUM(B349:B357)</f>
        <v>109.34999999954327</v>
      </c>
      <c r="C359" s="311">
        <f t="shared" ref="C359:E359" si="165">SUM(C349:C357)</f>
        <v>1.782000000007131</v>
      </c>
      <c r="D359" s="311">
        <f t="shared" si="165"/>
        <v>2.9909999999661214</v>
      </c>
      <c r="E359" s="311">
        <f t="shared" si="165"/>
        <v>114.12299999951649</v>
      </c>
      <c r="F359" s="311"/>
      <c r="G359" s="311">
        <f t="shared" ref="G359:J359" si="166">SUM(G349:G357)</f>
        <v>109.61699999961215</v>
      </c>
      <c r="H359" s="311">
        <f t="shared" si="166"/>
        <v>4.577000000027363</v>
      </c>
      <c r="I359" s="311">
        <f t="shared" si="166"/>
        <v>5.8579999999360801</v>
      </c>
      <c r="J359" s="311">
        <f t="shared" si="166"/>
        <v>120.0519999995756</v>
      </c>
      <c r="K359" s="311"/>
      <c r="L359" s="311">
        <f t="shared" ref="L359:O359" si="167">SUM(L349:L357)</f>
        <v>93.631000000032856</v>
      </c>
      <c r="M359" s="311">
        <f t="shared" si="167"/>
        <v>3.9479999999830224</v>
      </c>
      <c r="N359" s="311">
        <f t="shared" si="167"/>
        <v>5.0019999999060651</v>
      </c>
      <c r="O359" s="311">
        <f t="shared" si="167"/>
        <v>102.58099999992196</v>
      </c>
    </row>
    <row r="360" spans="1:15" s="236" customFormat="1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3">
      <c r="A363" s="241" t="str">
        <f>name!A24</f>
        <v>Furniture</v>
      </c>
      <c r="B363" s="375">
        <f>$B$6</f>
        <v>2015</v>
      </c>
      <c r="C363" s="375"/>
      <c r="D363" s="375"/>
      <c r="E363" s="375"/>
      <c r="F363" s="263"/>
      <c r="G363" s="375">
        <f>$G$6</f>
        <v>2020</v>
      </c>
      <c r="H363" s="375"/>
      <c r="I363" s="375"/>
      <c r="J363" s="375"/>
      <c r="K363" s="263"/>
      <c r="L363" s="375">
        <f>$L$6</f>
        <v>2035</v>
      </c>
      <c r="M363" s="375"/>
      <c r="N363" s="375"/>
      <c r="O363" s="375"/>
    </row>
    <row r="364" spans="1:15" s="236" customFormat="1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3">
      <c r="A366" s="237" t="str">
        <f>name!E$4</f>
        <v>Managers, directors and senior officials</v>
      </c>
      <c r="B366" s="302">
        <v>5.7457452748029034</v>
      </c>
      <c r="C366" s="302">
        <v>0.40842183285193473</v>
      </c>
      <c r="D366" s="302">
        <v>1.2698026105157407</v>
      </c>
      <c r="E366" s="302">
        <f>SUM(B366:D366)</f>
        <v>7.4239697181705786</v>
      </c>
      <c r="F366" s="303"/>
      <c r="G366" s="302">
        <v>8.1223310916408824</v>
      </c>
      <c r="H366" s="302">
        <v>0.83938711202679883</v>
      </c>
      <c r="I366" s="302">
        <v>0.63871311223671823</v>
      </c>
      <c r="J366" s="302">
        <f>SUM(G366:I366)</f>
        <v>9.6004313159043999</v>
      </c>
      <c r="K366" s="303"/>
      <c r="L366" s="302">
        <v>7.0422896649436399</v>
      </c>
      <c r="M366" s="302">
        <v>0.63981247977108247</v>
      </c>
      <c r="N366" s="302">
        <v>0.51511681338746451</v>
      </c>
      <c r="O366" s="302">
        <f>SUM(L366:N366)</f>
        <v>8.1972189581021873</v>
      </c>
    </row>
    <row r="367" spans="1:15" s="236" customFormat="1" x14ac:dyDescent="0.3">
      <c r="A367" s="237" t="str">
        <f>name!E$5</f>
        <v>Professional occupations</v>
      </c>
      <c r="B367" s="302">
        <v>5.1855553237330012</v>
      </c>
      <c r="C367" s="302">
        <v>0.29674200273758861</v>
      </c>
      <c r="D367" s="302">
        <v>0.51578259785391478</v>
      </c>
      <c r="E367" s="302">
        <f t="shared" ref="E367:E374" si="168">SUM(B367:D367)</f>
        <v>5.9980799243245047</v>
      </c>
      <c r="F367" s="303"/>
      <c r="G367" s="302">
        <v>8.2068095084195587</v>
      </c>
      <c r="H367" s="302">
        <v>0.78092063431759473</v>
      </c>
      <c r="I367" s="302">
        <v>0.30216015276116232</v>
      </c>
      <c r="J367" s="302">
        <f t="shared" ref="J367:J369" si="169">SUM(G367:I367)</f>
        <v>9.2898902954983154</v>
      </c>
      <c r="K367" s="303"/>
      <c r="L367" s="302">
        <v>8.2629232959515111</v>
      </c>
      <c r="M367" s="302">
        <v>0.68064492902758023</v>
      </c>
      <c r="N367" s="302">
        <v>0.19268460014603908</v>
      </c>
      <c r="O367" s="302">
        <f t="shared" ref="O367:O374" si="170">SUM(L367:N367)</f>
        <v>9.1362528251251316</v>
      </c>
    </row>
    <row r="368" spans="1:15" s="236" customFormat="1" x14ac:dyDescent="0.3">
      <c r="A368" s="237" t="str">
        <f>name!E$6</f>
        <v>Associate professional occupations</v>
      </c>
      <c r="B368" s="302">
        <v>4.5618266154539961</v>
      </c>
      <c r="C368" s="302">
        <v>0.49633640795729084</v>
      </c>
      <c r="D368" s="302">
        <v>0.72137556674334558</v>
      </c>
      <c r="E368" s="302">
        <f t="shared" si="168"/>
        <v>5.7795385901546323</v>
      </c>
      <c r="F368" s="303"/>
      <c r="G368" s="302">
        <v>6.7096303525904437</v>
      </c>
      <c r="H368" s="302">
        <v>0.8973652644329797</v>
      </c>
      <c r="I368" s="302">
        <v>0.42035612724123095</v>
      </c>
      <c r="J368" s="302">
        <f t="shared" si="169"/>
        <v>8.0273517442646547</v>
      </c>
      <c r="K368" s="303"/>
      <c r="L368" s="302">
        <v>5.5999113691492859</v>
      </c>
      <c r="M368" s="302">
        <v>0.5552297979530626</v>
      </c>
      <c r="N368" s="302">
        <v>0.30467522771287414</v>
      </c>
      <c r="O368" s="302">
        <f t="shared" si="170"/>
        <v>6.4598163948152223</v>
      </c>
    </row>
    <row r="369" spans="1:15" s="236" customFormat="1" x14ac:dyDescent="0.3">
      <c r="A369" s="237" t="str">
        <f>name!E$7</f>
        <v>Administrative and secretarial occupations</v>
      </c>
      <c r="B369" s="302">
        <v>4.8324874176349484</v>
      </c>
      <c r="C369" s="302">
        <v>1.6808399553102973</v>
      </c>
      <c r="D369" s="302">
        <v>0.21876427697360376</v>
      </c>
      <c r="E369" s="302">
        <f t="shared" si="168"/>
        <v>6.732091649918849</v>
      </c>
      <c r="F369" s="303"/>
      <c r="G369" s="302">
        <v>6.2757762622760671</v>
      </c>
      <c r="H369" s="302">
        <v>2.1749735982424681</v>
      </c>
      <c r="I369" s="302">
        <v>0.11290387259755026</v>
      </c>
      <c r="J369" s="302">
        <f t="shared" si="169"/>
        <v>8.5636537331160856</v>
      </c>
      <c r="K369" s="303"/>
      <c r="L369" s="302">
        <v>4.8609596355101532</v>
      </c>
      <c r="M369" s="302">
        <v>1.2295359615764045</v>
      </c>
      <c r="N369" s="302">
        <v>6.1650890293865716E-2</v>
      </c>
      <c r="O369" s="302">
        <f t="shared" si="170"/>
        <v>6.1521464873804232</v>
      </c>
    </row>
    <row r="370" spans="1:15" s="236" customFormat="1" x14ac:dyDescent="0.3">
      <c r="A370" s="237" t="str">
        <f>name!E$8</f>
        <v>Skilled trades occupations</v>
      </c>
      <c r="B370" s="302">
        <v>22.954720124307272</v>
      </c>
      <c r="C370" s="302">
        <v>0.86141756148835003</v>
      </c>
      <c r="D370" s="302">
        <v>10.399019477931544</v>
      </c>
      <c r="E370" s="302">
        <f t="shared" si="168"/>
        <v>34.215157163727163</v>
      </c>
      <c r="F370" s="303"/>
      <c r="G370" s="302">
        <v>23.643992255351041</v>
      </c>
      <c r="H370" s="302">
        <v>1.1125481941453321</v>
      </c>
      <c r="I370" s="302">
        <v>3.6678621355035346</v>
      </c>
      <c r="J370" s="302">
        <f>SUM(G370:I370)</f>
        <v>28.424402584999907</v>
      </c>
      <c r="K370" s="303"/>
      <c r="L370" s="302">
        <v>17.729334025704294</v>
      </c>
      <c r="M370" s="302">
        <v>0.97615650647414254</v>
      </c>
      <c r="N370" s="302">
        <v>2.8863982815317146</v>
      </c>
      <c r="O370" s="302">
        <f t="shared" si="170"/>
        <v>21.591888813710153</v>
      </c>
    </row>
    <row r="371" spans="1:15" s="236" customFormat="1" x14ac:dyDescent="0.3">
      <c r="A371" s="237" t="str">
        <f>name!E$9</f>
        <v>Caring, leisure and other service occupations</v>
      </c>
      <c r="B371" s="302">
        <v>0.22583887741337116</v>
      </c>
      <c r="C371" s="302">
        <v>0.1259817688544396</v>
      </c>
      <c r="D371" s="302">
        <v>7.4830537220488394E-2</v>
      </c>
      <c r="E371" s="302">
        <f t="shared" si="168"/>
        <v>0.42665118348829911</v>
      </c>
      <c r="F371" s="303"/>
      <c r="G371" s="302">
        <v>0.29365353127324939</v>
      </c>
      <c r="H371" s="302">
        <v>0.30996478556026258</v>
      </c>
      <c r="I371" s="302">
        <v>8.2054052863360163E-2</v>
      </c>
      <c r="J371" s="302">
        <f t="shared" ref="J371:J374" si="171">SUM(G371:I371)</f>
        <v>0.68567236969687217</v>
      </c>
      <c r="K371" s="303"/>
      <c r="L371" s="302">
        <v>0.25497870128378769</v>
      </c>
      <c r="M371" s="302">
        <v>0.25967993988622007</v>
      </c>
      <c r="N371" s="302">
        <v>7.3499873618447259E-2</v>
      </c>
      <c r="O371" s="302">
        <f t="shared" si="170"/>
        <v>0.58815851478845504</v>
      </c>
    </row>
    <row r="372" spans="1:15" s="236" customFormat="1" x14ac:dyDescent="0.3">
      <c r="A372" s="237" t="str">
        <f>name!E$10</f>
        <v>Sales and customer service occupations</v>
      </c>
      <c r="B372" s="302">
        <v>2.5623784760459567</v>
      </c>
      <c r="C372" s="302">
        <v>0.60543803271223129</v>
      </c>
      <c r="D372" s="302">
        <v>0.2636586807966762</v>
      </c>
      <c r="E372" s="302">
        <f t="shared" si="168"/>
        <v>3.4314751895548641</v>
      </c>
      <c r="F372" s="303"/>
      <c r="G372" s="302">
        <v>3.0062103436006615</v>
      </c>
      <c r="H372" s="302">
        <v>1.1336607013422764</v>
      </c>
      <c r="I372" s="302">
        <v>9.568370004669155E-2</v>
      </c>
      <c r="J372" s="302">
        <f t="shared" si="171"/>
        <v>4.2355547449896296</v>
      </c>
      <c r="K372" s="303"/>
      <c r="L372" s="302">
        <v>2.7147816916089398</v>
      </c>
      <c r="M372" s="302">
        <v>1.0106937768143498</v>
      </c>
      <c r="N372" s="302">
        <v>6.4221573478984745E-2</v>
      </c>
      <c r="O372" s="302">
        <f t="shared" si="170"/>
        <v>3.7896970419022744</v>
      </c>
    </row>
    <row r="373" spans="1:15" s="236" customFormat="1" x14ac:dyDescent="0.3">
      <c r="A373" s="237" t="str">
        <f>name!E$11</f>
        <v>Process, plant and machine operatives</v>
      </c>
      <c r="B373" s="302">
        <v>10.939442116638416</v>
      </c>
      <c r="C373" s="302">
        <v>0.84045726553317723</v>
      </c>
      <c r="D373" s="302">
        <v>1.2887751415759157</v>
      </c>
      <c r="E373" s="302">
        <f t="shared" si="168"/>
        <v>13.068674523747507</v>
      </c>
      <c r="F373" s="303"/>
      <c r="G373" s="302">
        <v>10.942938681445565</v>
      </c>
      <c r="H373" s="302">
        <v>1.1841398671535908</v>
      </c>
      <c r="I373" s="302">
        <v>0.72974554682764892</v>
      </c>
      <c r="J373" s="302">
        <f t="shared" si="171"/>
        <v>12.856824095426804</v>
      </c>
      <c r="K373" s="303"/>
      <c r="L373" s="302">
        <v>10.638881922612589</v>
      </c>
      <c r="M373" s="302">
        <v>1.4679596174151619</v>
      </c>
      <c r="N373" s="302">
        <v>0.66838983195546586</v>
      </c>
      <c r="O373" s="302">
        <f t="shared" si="170"/>
        <v>12.775231371983216</v>
      </c>
    </row>
    <row r="374" spans="1:15" s="236" customFormat="1" x14ac:dyDescent="0.3">
      <c r="A374" s="237" t="str">
        <f>name!E$12</f>
        <v>Elementary occupations</v>
      </c>
      <c r="B374" s="302">
        <v>4.4320057738896192</v>
      </c>
      <c r="C374" s="302">
        <v>0.51036517263549941</v>
      </c>
      <c r="D374" s="302">
        <v>0.40799111035507984</v>
      </c>
      <c r="E374" s="302">
        <f t="shared" si="168"/>
        <v>5.3503620568801979</v>
      </c>
      <c r="F374" s="303"/>
      <c r="G374" s="302">
        <v>4.1706579733827525</v>
      </c>
      <c r="H374" s="302">
        <v>1.0710398428407391</v>
      </c>
      <c r="I374" s="302">
        <v>0.16552129985459893</v>
      </c>
      <c r="J374" s="302">
        <f t="shared" si="171"/>
        <v>5.4072191160780907</v>
      </c>
      <c r="K374" s="303"/>
      <c r="L374" s="302">
        <v>2.4359396933496864</v>
      </c>
      <c r="M374" s="302">
        <v>0.67428699107075818</v>
      </c>
      <c r="N374" s="302">
        <v>0.12736290785921095</v>
      </c>
      <c r="O374" s="302">
        <f t="shared" si="170"/>
        <v>3.2375895922796558</v>
      </c>
    </row>
    <row r="375" spans="1:15" s="236" customFormat="1" x14ac:dyDescent="0.3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3">
      <c r="A376" s="244" t="s">
        <v>32</v>
      </c>
      <c r="B376" s="311">
        <f>SUM(B366:B374)</f>
        <v>61.439999999919486</v>
      </c>
      <c r="C376" s="311">
        <f t="shared" ref="C376:E376" si="172">SUM(C366:C374)</f>
        <v>5.8260000000808088</v>
      </c>
      <c r="D376" s="311">
        <f t="shared" si="172"/>
        <v>15.15999999996631</v>
      </c>
      <c r="E376" s="311">
        <f t="shared" si="172"/>
        <v>82.425999999966592</v>
      </c>
      <c r="F376" s="311"/>
      <c r="G376" s="311">
        <f t="shared" ref="G376:J376" si="173">SUM(G366:G374)</f>
        <v>71.371999999980233</v>
      </c>
      <c r="H376" s="311">
        <f t="shared" si="173"/>
        <v>9.5040000000620406</v>
      </c>
      <c r="I376" s="311">
        <f t="shared" si="173"/>
        <v>6.2149999999324965</v>
      </c>
      <c r="J376" s="311">
        <f t="shared" si="173"/>
        <v>87.090999999974755</v>
      </c>
      <c r="K376" s="311"/>
      <c r="L376" s="311">
        <f t="shared" ref="L376:O376" si="174">SUM(L366:L374)</f>
        <v>59.540000000113892</v>
      </c>
      <c r="M376" s="311">
        <f t="shared" si="174"/>
        <v>7.4939999999887617</v>
      </c>
      <c r="N376" s="311">
        <f t="shared" si="174"/>
        <v>4.8939999999840662</v>
      </c>
      <c r="O376" s="311">
        <f t="shared" si="174"/>
        <v>71.928000000086712</v>
      </c>
    </row>
    <row r="377" spans="1:15" s="236" customFormat="1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3">
      <c r="A380" s="241" t="str">
        <f>name!A25</f>
        <v>Other manufacturing</v>
      </c>
      <c r="B380" s="375">
        <f>$B$6</f>
        <v>2015</v>
      </c>
      <c r="C380" s="375"/>
      <c r="D380" s="375"/>
      <c r="E380" s="375"/>
      <c r="F380" s="263"/>
      <c r="G380" s="375">
        <f>$G$6</f>
        <v>2020</v>
      </c>
      <c r="H380" s="375"/>
      <c r="I380" s="375"/>
      <c r="J380" s="375"/>
      <c r="K380" s="263"/>
      <c r="L380" s="375">
        <f>$L$6</f>
        <v>2035</v>
      </c>
      <c r="M380" s="375"/>
      <c r="N380" s="375"/>
      <c r="O380" s="375"/>
    </row>
    <row r="381" spans="1:15" s="236" customFormat="1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3">
      <c r="A383" s="237" t="str">
        <f>name!E$4</f>
        <v>Managers, directors and senior officials</v>
      </c>
      <c r="B383" s="302">
        <v>7.2644978164906853</v>
      </c>
      <c r="C383" s="302">
        <v>0.69607465543362324</v>
      </c>
      <c r="D383" s="302">
        <v>1.1900820948044224</v>
      </c>
      <c r="E383" s="302">
        <f>SUM(B383:D383)</f>
        <v>9.1506545667287309</v>
      </c>
      <c r="F383" s="303"/>
      <c r="G383" s="302">
        <v>9.4557913511810252</v>
      </c>
      <c r="H383" s="302">
        <v>1.0788329895097224</v>
      </c>
      <c r="I383" s="302">
        <v>1.1088315042642731</v>
      </c>
      <c r="J383" s="302">
        <f>SUM(G383:I383)</f>
        <v>11.643455844955021</v>
      </c>
      <c r="K383" s="303"/>
      <c r="L383" s="302">
        <v>8.2075343788495374</v>
      </c>
      <c r="M383" s="302">
        <v>0.95310398872651447</v>
      </c>
      <c r="N383" s="302">
        <v>0.82976523326108331</v>
      </c>
      <c r="O383" s="302">
        <f>SUM(L383:N383)</f>
        <v>9.9904036008371353</v>
      </c>
    </row>
    <row r="384" spans="1:15" s="236" customFormat="1" x14ac:dyDescent="0.3">
      <c r="A384" s="237" t="str">
        <f>name!E$5</f>
        <v>Professional occupations</v>
      </c>
      <c r="B384" s="302">
        <v>8.0843851353963405</v>
      </c>
      <c r="C384" s="302">
        <v>0.53475237158765265</v>
      </c>
      <c r="D384" s="302">
        <v>0.69449763238917228</v>
      </c>
      <c r="E384" s="302">
        <f t="shared" ref="E384:E391" si="175">SUM(B384:D384)</f>
        <v>9.3136351393731651</v>
      </c>
      <c r="F384" s="303"/>
      <c r="G384" s="302">
        <v>11.828920386409173</v>
      </c>
      <c r="H384" s="302">
        <v>0.99493707873868398</v>
      </c>
      <c r="I384" s="302">
        <v>0.66757000749594886</v>
      </c>
      <c r="J384" s="302">
        <f t="shared" ref="J384:J386" si="176">SUM(G384:I384)</f>
        <v>13.491427472643805</v>
      </c>
      <c r="K384" s="303"/>
      <c r="L384" s="302">
        <v>11.692843021023727</v>
      </c>
      <c r="M384" s="302">
        <v>1.0492346766563436</v>
      </c>
      <c r="N384" s="302">
        <v>0.46440102747407297</v>
      </c>
      <c r="O384" s="302">
        <f t="shared" ref="O384:O391" si="177">SUM(L384:N384)</f>
        <v>13.206478725154144</v>
      </c>
    </row>
    <row r="385" spans="1:15" s="236" customFormat="1" x14ac:dyDescent="0.3">
      <c r="A385" s="237" t="str">
        <f>name!E$6</f>
        <v>Associate professional occupations</v>
      </c>
      <c r="B385" s="302">
        <v>6.722111978699119</v>
      </c>
      <c r="C385" s="302">
        <v>0.83963185077228064</v>
      </c>
      <c r="D385" s="302">
        <v>1.0763307215496252</v>
      </c>
      <c r="E385" s="302">
        <f t="shared" si="175"/>
        <v>8.6380745510210257</v>
      </c>
      <c r="F385" s="303"/>
      <c r="G385" s="302">
        <v>9.0239943117614025</v>
      </c>
      <c r="H385" s="302">
        <v>0.97853789119230783</v>
      </c>
      <c r="I385" s="302">
        <v>0.77729499728450269</v>
      </c>
      <c r="J385" s="302">
        <f t="shared" si="176"/>
        <v>10.779827200238215</v>
      </c>
      <c r="K385" s="303"/>
      <c r="L385" s="302">
        <v>7.3411617883317373</v>
      </c>
      <c r="M385" s="302">
        <v>0.67739372532036879</v>
      </c>
      <c r="N385" s="302">
        <v>0.58146778467247284</v>
      </c>
      <c r="O385" s="302">
        <f t="shared" si="177"/>
        <v>8.6000232983245795</v>
      </c>
    </row>
    <row r="386" spans="1:15" s="236" customFormat="1" x14ac:dyDescent="0.3">
      <c r="A386" s="237" t="str">
        <f>name!E$7</f>
        <v>Administrative and secretarial occupations</v>
      </c>
      <c r="B386" s="302">
        <v>6.7790949407990926</v>
      </c>
      <c r="C386" s="302">
        <v>2.9747896083216943</v>
      </c>
      <c r="D386" s="302">
        <v>0.34606130698530957</v>
      </c>
      <c r="E386" s="302">
        <f t="shared" si="175"/>
        <v>10.099945856106096</v>
      </c>
      <c r="F386" s="303"/>
      <c r="G386" s="302">
        <v>7.7983997680558197</v>
      </c>
      <c r="H386" s="302">
        <v>2.5756930056271621</v>
      </c>
      <c r="I386" s="302">
        <v>0.26929997513727105</v>
      </c>
      <c r="J386" s="302">
        <f t="shared" si="176"/>
        <v>10.643392748820252</v>
      </c>
      <c r="K386" s="303"/>
      <c r="L386" s="302">
        <v>5.1327485820937264</v>
      </c>
      <c r="M386" s="302">
        <v>1.597812923134815</v>
      </c>
      <c r="N386" s="302">
        <v>0.17467063195129756</v>
      </c>
      <c r="O386" s="302">
        <f t="shared" si="177"/>
        <v>6.9052321371798389</v>
      </c>
    </row>
    <row r="387" spans="1:15" s="236" customFormat="1" x14ac:dyDescent="0.3">
      <c r="A387" s="237" t="str">
        <f>name!E$8</f>
        <v>Skilled trades occupations</v>
      </c>
      <c r="B387" s="302">
        <v>17.066474277726854</v>
      </c>
      <c r="C387" s="302">
        <v>1.4296963049536184</v>
      </c>
      <c r="D387" s="302">
        <v>7.8775715351959263</v>
      </c>
      <c r="E387" s="302">
        <f t="shared" si="175"/>
        <v>26.3737421178764</v>
      </c>
      <c r="F387" s="303"/>
      <c r="G387" s="302">
        <v>15.819174820956189</v>
      </c>
      <c r="H387" s="302">
        <v>1.1066658924156878</v>
      </c>
      <c r="I387" s="302">
        <v>4.9902165106562224</v>
      </c>
      <c r="J387" s="302">
        <f>SUM(G387:I387)</f>
        <v>21.916057224028098</v>
      </c>
      <c r="K387" s="303"/>
      <c r="L387" s="302">
        <v>12.453859435513905</v>
      </c>
      <c r="M387" s="302">
        <v>1.0321825021630489</v>
      </c>
      <c r="N387" s="302">
        <v>3.3024807158290388</v>
      </c>
      <c r="O387" s="302">
        <f t="shared" si="177"/>
        <v>16.788522653505993</v>
      </c>
    </row>
    <row r="388" spans="1:15" s="236" customFormat="1" x14ac:dyDescent="0.3">
      <c r="A388" s="237" t="str">
        <f>name!E$9</f>
        <v>Caring, leisure and other service occupations</v>
      </c>
      <c r="B388" s="302">
        <v>0.385224836525699</v>
      </c>
      <c r="C388" s="302">
        <v>0.30695263959897362</v>
      </c>
      <c r="D388" s="302">
        <v>0.111750237243866</v>
      </c>
      <c r="E388" s="302">
        <f t="shared" si="175"/>
        <v>0.80392771336853863</v>
      </c>
      <c r="F388" s="303"/>
      <c r="G388" s="302">
        <v>0.42132498744204566</v>
      </c>
      <c r="H388" s="302">
        <v>0.25244316639434983</v>
      </c>
      <c r="I388" s="302">
        <v>0.26432718396297994</v>
      </c>
      <c r="J388" s="302">
        <f t="shared" ref="J388:J391" si="178">SUM(G388:I388)</f>
        <v>0.93809533779937548</v>
      </c>
      <c r="K388" s="303"/>
      <c r="L388" s="302">
        <v>0.35289403383788431</v>
      </c>
      <c r="M388" s="302">
        <v>0.18193974538601834</v>
      </c>
      <c r="N388" s="302">
        <v>0.23360717978280196</v>
      </c>
      <c r="O388" s="302">
        <f t="shared" si="177"/>
        <v>0.76844095900670462</v>
      </c>
    </row>
    <row r="389" spans="1:15" s="236" customFormat="1" x14ac:dyDescent="0.3">
      <c r="A389" s="237" t="str">
        <f>name!E$10</f>
        <v>Sales and customer service occupations</v>
      </c>
      <c r="B389" s="302">
        <v>2.8198566341637679</v>
      </c>
      <c r="C389" s="302">
        <v>1.0708657239725461</v>
      </c>
      <c r="D389" s="302">
        <v>0.29440852046823857</v>
      </c>
      <c r="E389" s="302">
        <f t="shared" si="175"/>
        <v>4.1851308786045527</v>
      </c>
      <c r="F389" s="303"/>
      <c r="G389" s="302">
        <v>3.0527639664932513</v>
      </c>
      <c r="H389" s="302">
        <v>0.99939366384905404</v>
      </c>
      <c r="I389" s="302">
        <v>0.18061623823296999</v>
      </c>
      <c r="J389" s="302">
        <f t="shared" si="178"/>
        <v>4.2327738685752756</v>
      </c>
      <c r="K389" s="303"/>
      <c r="L389" s="302">
        <v>2.6255981482650399</v>
      </c>
      <c r="M389" s="302">
        <v>0.82081260814731061</v>
      </c>
      <c r="N389" s="302">
        <v>0.11679564986396637</v>
      </c>
      <c r="O389" s="302">
        <f t="shared" si="177"/>
        <v>3.5632064062763171</v>
      </c>
    </row>
    <row r="390" spans="1:15" s="236" customFormat="1" x14ac:dyDescent="0.3">
      <c r="A390" s="237" t="str">
        <f>name!E$11</f>
        <v>Process, plant and machine operatives</v>
      </c>
      <c r="B390" s="302">
        <v>9.3977560147799348</v>
      </c>
      <c r="C390" s="302">
        <v>1.496833277272559</v>
      </c>
      <c r="D390" s="302">
        <v>1.0879669638300811</v>
      </c>
      <c r="E390" s="302">
        <f t="shared" si="175"/>
        <v>11.982556255882574</v>
      </c>
      <c r="F390" s="303"/>
      <c r="G390" s="302">
        <v>8.0701700055564611</v>
      </c>
      <c r="H390" s="302">
        <v>1.4782348178361513</v>
      </c>
      <c r="I390" s="302">
        <v>1.6260310152300568</v>
      </c>
      <c r="J390" s="302">
        <f t="shared" si="178"/>
        <v>11.174435838622669</v>
      </c>
      <c r="K390" s="303"/>
      <c r="L390" s="302">
        <v>7.3709185032248348</v>
      </c>
      <c r="M390" s="302">
        <v>1.8085951136362306</v>
      </c>
      <c r="N390" s="302">
        <v>1.4746477949506516</v>
      </c>
      <c r="O390" s="302">
        <f t="shared" si="177"/>
        <v>10.654161411811717</v>
      </c>
    </row>
    <row r="391" spans="1:15" s="236" customFormat="1" x14ac:dyDescent="0.3">
      <c r="A391" s="237" t="str">
        <f>name!E$12</f>
        <v>Elementary occupations</v>
      </c>
      <c r="B391" s="302">
        <v>3.5245983652463466</v>
      </c>
      <c r="C391" s="302">
        <v>0.90140356824929857</v>
      </c>
      <c r="D391" s="302">
        <v>0.65733098756435715</v>
      </c>
      <c r="E391" s="302">
        <f t="shared" si="175"/>
        <v>5.0833329210600029</v>
      </c>
      <c r="F391" s="303"/>
      <c r="G391" s="302">
        <v>2.9524604018760097</v>
      </c>
      <c r="H391" s="302">
        <v>0.67826149455274332</v>
      </c>
      <c r="I391" s="302">
        <v>0.44581256767198646</v>
      </c>
      <c r="J391" s="302">
        <f t="shared" si="178"/>
        <v>4.0765344641007397</v>
      </c>
      <c r="K391" s="303"/>
      <c r="L391" s="302">
        <v>1.6594421089714393</v>
      </c>
      <c r="M391" s="302">
        <v>0.33892471678137237</v>
      </c>
      <c r="N391" s="302">
        <v>0.38016398218245373</v>
      </c>
      <c r="O391" s="302">
        <f t="shared" si="177"/>
        <v>2.3785308079352654</v>
      </c>
    </row>
    <row r="392" spans="1:15" s="236" customFormat="1" x14ac:dyDescent="0.3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3">
      <c r="A393" s="244" t="s">
        <v>32</v>
      </c>
      <c r="B393" s="311">
        <f>SUM(B383:B391)</f>
        <v>62.043999999827847</v>
      </c>
      <c r="C393" s="311">
        <f t="shared" ref="C393:E393" si="179">SUM(C383:C391)</f>
        <v>10.251000000162247</v>
      </c>
      <c r="D393" s="311">
        <f t="shared" si="179"/>
        <v>13.336000000030998</v>
      </c>
      <c r="E393" s="311">
        <f t="shared" si="179"/>
        <v>85.631000000021089</v>
      </c>
      <c r="F393" s="311"/>
      <c r="G393" s="311">
        <f t="shared" ref="G393:J393" si="180">SUM(G383:G391)</f>
        <v>68.422999999731374</v>
      </c>
      <c r="H393" s="311">
        <f t="shared" si="180"/>
        <v>10.143000000115862</v>
      </c>
      <c r="I393" s="311">
        <f t="shared" si="180"/>
        <v>10.329999999936211</v>
      </c>
      <c r="J393" s="311">
        <f t="shared" si="180"/>
        <v>88.89599999978347</v>
      </c>
      <c r="K393" s="311"/>
      <c r="L393" s="311">
        <f t="shared" ref="L393:O393" si="181">SUM(L383:L391)</f>
        <v>56.837000000111836</v>
      </c>
      <c r="M393" s="311">
        <f t="shared" si="181"/>
        <v>8.4599999999520232</v>
      </c>
      <c r="N393" s="311">
        <f t="shared" si="181"/>
        <v>7.5579999999678389</v>
      </c>
      <c r="O393" s="311">
        <f t="shared" si="181"/>
        <v>72.855000000031694</v>
      </c>
    </row>
    <row r="394" spans="1:15" s="236" customFormat="1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3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3">
      <c r="A397" s="241" t="str">
        <f>name!A26</f>
        <v>Repair and installation</v>
      </c>
      <c r="B397" s="375">
        <f>$B$6</f>
        <v>2015</v>
      </c>
      <c r="C397" s="375"/>
      <c r="D397" s="375"/>
      <c r="E397" s="375"/>
      <c r="F397" s="263"/>
      <c r="G397" s="375">
        <f>$G$6</f>
        <v>2020</v>
      </c>
      <c r="H397" s="375"/>
      <c r="I397" s="375"/>
      <c r="J397" s="375"/>
      <c r="K397" s="263"/>
      <c r="L397" s="375">
        <f>$L$6</f>
        <v>2035</v>
      </c>
      <c r="M397" s="375"/>
      <c r="N397" s="375"/>
      <c r="O397" s="375"/>
    </row>
    <row r="398" spans="1:15" s="236" customFormat="1" x14ac:dyDescent="0.3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3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3">
      <c r="A400" s="237" t="str">
        <f>name!E$4</f>
        <v>Managers, directors and senior officials</v>
      </c>
      <c r="B400" s="302">
        <v>8.0048062704188183</v>
      </c>
      <c r="C400" s="302">
        <v>0.68143610412853273</v>
      </c>
      <c r="D400" s="302">
        <v>4.3526308397593985</v>
      </c>
      <c r="E400" s="302">
        <f>SUM(B400:D400)</f>
        <v>13.038873214306751</v>
      </c>
      <c r="F400" s="303"/>
      <c r="G400" s="302">
        <v>12.278422420947029</v>
      </c>
      <c r="H400" s="302">
        <v>1.3375847464569526</v>
      </c>
      <c r="I400" s="302">
        <v>6.1367045442665553</v>
      </c>
      <c r="J400" s="302">
        <f>SUM(G400:I400)</f>
        <v>19.752711711670536</v>
      </c>
      <c r="K400" s="303"/>
      <c r="L400" s="302">
        <v>9.5967028494422895</v>
      </c>
      <c r="M400" s="302">
        <v>1.1976904303474103</v>
      </c>
      <c r="N400" s="302">
        <v>5.7315900689417996</v>
      </c>
      <c r="O400" s="302">
        <f>SUM(L400:N400)</f>
        <v>16.525983348731501</v>
      </c>
    </row>
    <row r="401" spans="1:15" s="236" customFormat="1" x14ac:dyDescent="0.3">
      <c r="A401" s="237" t="str">
        <f>name!E$5</f>
        <v>Professional occupations</v>
      </c>
      <c r="B401" s="302">
        <v>16.94744866694889</v>
      </c>
      <c r="C401" s="302">
        <v>0.70967559833429861</v>
      </c>
      <c r="D401" s="302">
        <v>3.0658446694132917</v>
      </c>
      <c r="E401" s="302">
        <f t="shared" ref="E401:E408" si="182">SUM(B401:D401)</f>
        <v>20.722968934696482</v>
      </c>
      <c r="F401" s="303"/>
      <c r="G401" s="302">
        <v>28.916398490418061</v>
      </c>
      <c r="H401" s="302">
        <v>1.2469454788727607</v>
      </c>
      <c r="I401" s="302">
        <v>3.7417410873832524</v>
      </c>
      <c r="J401" s="302">
        <f t="shared" ref="J401:J403" si="183">SUM(G401:I401)</f>
        <v>33.905085056674075</v>
      </c>
      <c r="K401" s="303"/>
      <c r="L401" s="302">
        <v>27.127356550652021</v>
      </c>
      <c r="M401" s="302">
        <v>1.0541076679176982</v>
      </c>
      <c r="N401" s="302">
        <v>2.5341259539894745</v>
      </c>
      <c r="O401" s="302">
        <f t="shared" ref="O401:O408" si="184">SUM(L401:N401)</f>
        <v>30.715590172559192</v>
      </c>
    </row>
    <row r="402" spans="1:15" s="236" customFormat="1" x14ac:dyDescent="0.3">
      <c r="A402" s="237" t="str">
        <f>name!E$6</f>
        <v>Associate professional occupations</v>
      </c>
      <c r="B402" s="302">
        <v>7.9621651790429278</v>
      </c>
      <c r="C402" s="302">
        <v>0.61185321757988775</v>
      </c>
      <c r="D402" s="302">
        <v>1.6947259807190855</v>
      </c>
      <c r="E402" s="302">
        <f t="shared" si="182"/>
        <v>10.2687443773419</v>
      </c>
      <c r="F402" s="303"/>
      <c r="G402" s="302">
        <v>13.21475056656555</v>
      </c>
      <c r="H402" s="302">
        <v>0.98042383491183682</v>
      </c>
      <c r="I402" s="302">
        <v>1.9931102419114217</v>
      </c>
      <c r="J402" s="302">
        <f t="shared" si="183"/>
        <v>16.188284643388808</v>
      </c>
      <c r="K402" s="303"/>
      <c r="L402" s="302">
        <v>9.7224466111775172</v>
      </c>
      <c r="M402" s="302">
        <v>0.7123010847566964</v>
      </c>
      <c r="N402" s="302">
        <v>1.744704381026575</v>
      </c>
      <c r="O402" s="302">
        <f t="shared" si="184"/>
        <v>12.179452076960787</v>
      </c>
    </row>
    <row r="403" spans="1:15" s="236" customFormat="1" x14ac:dyDescent="0.3">
      <c r="A403" s="237" t="str">
        <f>name!E$7</f>
        <v>Administrative and secretarial occupations</v>
      </c>
      <c r="B403" s="302">
        <v>3.3964355813770526</v>
      </c>
      <c r="C403" s="302">
        <v>1.8277402964100633</v>
      </c>
      <c r="D403" s="302">
        <v>0.69012961063990041</v>
      </c>
      <c r="E403" s="302">
        <f t="shared" si="182"/>
        <v>5.9143054884270159</v>
      </c>
      <c r="F403" s="303"/>
      <c r="G403" s="302">
        <v>5.0430991061900672</v>
      </c>
      <c r="H403" s="302">
        <v>1.9830787411553421</v>
      </c>
      <c r="I403" s="302">
        <v>0.64845653169196893</v>
      </c>
      <c r="J403" s="302">
        <f t="shared" si="183"/>
        <v>7.6746343790373786</v>
      </c>
      <c r="K403" s="303"/>
      <c r="L403" s="302">
        <v>3.7023942775912833</v>
      </c>
      <c r="M403" s="302">
        <v>1.272446984167507</v>
      </c>
      <c r="N403" s="302">
        <v>0.56609974866754142</v>
      </c>
      <c r="O403" s="302">
        <f t="shared" si="184"/>
        <v>5.5409410104263319</v>
      </c>
    </row>
    <row r="404" spans="1:15" s="236" customFormat="1" x14ac:dyDescent="0.3">
      <c r="A404" s="237" t="str">
        <f>name!E$8</f>
        <v>Skilled trades occupations</v>
      </c>
      <c r="B404" s="302">
        <v>19.662445469976461</v>
      </c>
      <c r="C404" s="302">
        <v>0.80225914922587804</v>
      </c>
      <c r="D404" s="302">
        <v>6.3351464100843238</v>
      </c>
      <c r="E404" s="302">
        <f t="shared" si="182"/>
        <v>26.799851029286664</v>
      </c>
      <c r="F404" s="303"/>
      <c r="G404" s="302">
        <v>21.164901309014123</v>
      </c>
      <c r="H404" s="302">
        <v>0.81453720682962627</v>
      </c>
      <c r="I404" s="302">
        <v>6.0915658151254313</v>
      </c>
      <c r="J404" s="302">
        <f>SUM(G404:I404)</f>
        <v>28.071004330969181</v>
      </c>
      <c r="K404" s="303"/>
      <c r="L404" s="302">
        <v>14.623590867823955</v>
      </c>
      <c r="M404" s="302">
        <v>0.74606946574855126</v>
      </c>
      <c r="N404" s="302">
        <v>6.2398492706123516</v>
      </c>
      <c r="O404" s="302">
        <f t="shared" si="184"/>
        <v>21.609509604184858</v>
      </c>
    </row>
    <row r="405" spans="1:15" s="236" customFormat="1" x14ac:dyDescent="0.3">
      <c r="A405" s="237" t="str">
        <f>name!E$9</f>
        <v>Caring, leisure and other service occupations</v>
      </c>
      <c r="B405" s="302">
        <v>0.53605360766096133</v>
      </c>
      <c r="C405" s="302">
        <v>0.33456041719786972</v>
      </c>
      <c r="D405" s="302">
        <v>0.45672183047137094</v>
      </c>
      <c r="E405" s="302">
        <f t="shared" si="182"/>
        <v>1.3273358553302019</v>
      </c>
      <c r="F405" s="303"/>
      <c r="G405" s="302">
        <v>0.79520440848656082</v>
      </c>
      <c r="H405" s="302">
        <v>0.666517405361439</v>
      </c>
      <c r="I405" s="302">
        <v>0.44856244705936626</v>
      </c>
      <c r="J405" s="302">
        <f t="shared" ref="J405:J408" si="185">SUM(G405:I405)</f>
        <v>1.9102842609073662</v>
      </c>
      <c r="K405" s="303"/>
      <c r="L405" s="302">
        <v>0.8166595780879391</v>
      </c>
      <c r="M405" s="302">
        <v>0.53378621042656504</v>
      </c>
      <c r="N405" s="302">
        <v>0.5256737885665711</v>
      </c>
      <c r="O405" s="302">
        <f t="shared" si="184"/>
        <v>1.876119577081075</v>
      </c>
    </row>
    <row r="406" spans="1:15" s="236" customFormat="1" x14ac:dyDescent="0.3">
      <c r="A406" s="237" t="str">
        <f>name!E$10</f>
        <v>Sales and customer service occupations</v>
      </c>
      <c r="B406" s="302">
        <v>1.4239934153485474</v>
      </c>
      <c r="C406" s="302">
        <v>0.54946678916492464</v>
      </c>
      <c r="D406" s="302">
        <v>0.48029864732398753</v>
      </c>
      <c r="E406" s="302">
        <f t="shared" si="182"/>
        <v>2.4537588518374598</v>
      </c>
      <c r="F406" s="303"/>
      <c r="G406" s="302">
        <v>1.8826399342429367</v>
      </c>
      <c r="H406" s="302">
        <v>0.76202846946372527</v>
      </c>
      <c r="I406" s="302">
        <v>0.43853403758608905</v>
      </c>
      <c r="J406" s="302">
        <f t="shared" si="185"/>
        <v>3.0832024412927512</v>
      </c>
      <c r="K406" s="303"/>
      <c r="L406" s="302">
        <v>1.7125417684367734</v>
      </c>
      <c r="M406" s="302">
        <v>0.73199009015278893</v>
      </c>
      <c r="N406" s="302">
        <v>0.35614540247769738</v>
      </c>
      <c r="O406" s="302">
        <f t="shared" si="184"/>
        <v>2.8006772610672601</v>
      </c>
    </row>
    <row r="407" spans="1:15" s="236" customFormat="1" x14ac:dyDescent="0.3">
      <c r="A407" s="237" t="str">
        <f>name!E$11</f>
        <v>Process, plant and machine operatives</v>
      </c>
      <c r="B407" s="302">
        <v>9.8186496834814463</v>
      </c>
      <c r="C407" s="302">
        <v>0.79452290289271466</v>
      </c>
      <c r="D407" s="302">
        <v>1.1208493042466541</v>
      </c>
      <c r="E407" s="302">
        <f t="shared" si="182"/>
        <v>11.734021890620815</v>
      </c>
      <c r="F407" s="303"/>
      <c r="G407" s="302">
        <v>9.5942863927344231</v>
      </c>
      <c r="H407" s="302">
        <v>0.85226580838839328</v>
      </c>
      <c r="I407" s="302">
        <v>1.548941031160959</v>
      </c>
      <c r="J407" s="302">
        <f t="shared" si="185"/>
        <v>11.995493232283776</v>
      </c>
      <c r="K407" s="303"/>
      <c r="L407" s="302">
        <v>8.7114572957073619</v>
      </c>
      <c r="M407" s="302">
        <v>0.80393604425259224</v>
      </c>
      <c r="N407" s="302">
        <v>1.7514347508304675</v>
      </c>
      <c r="O407" s="302">
        <f t="shared" si="184"/>
        <v>11.266828090790423</v>
      </c>
    </row>
    <row r="408" spans="1:15" s="236" customFormat="1" x14ac:dyDescent="0.3">
      <c r="A408" s="237" t="str">
        <f>name!E$12</f>
        <v>Elementary occupations</v>
      </c>
      <c r="B408" s="302">
        <v>2.5170021255010453</v>
      </c>
      <c r="C408" s="302">
        <v>0.61748552512227406</v>
      </c>
      <c r="D408" s="302">
        <v>0.78165270743909709</v>
      </c>
      <c r="E408" s="302">
        <f t="shared" si="182"/>
        <v>3.9161403580624166</v>
      </c>
      <c r="F408" s="303"/>
      <c r="G408" s="302">
        <v>2.6122973710172963</v>
      </c>
      <c r="H408" s="302">
        <v>0.60161830856021903</v>
      </c>
      <c r="I408" s="302">
        <v>0.57838426379517294</v>
      </c>
      <c r="J408" s="302">
        <f t="shared" si="185"/>
        <v>3.7922999433726883</v>
      </c>
      <c r="K408" s="303"/>
      <c r="L408" s="302">
        <v>1.3918502009713938</v>
      </c>
      <c r="M408" s="302">
        <v>0.31667202219399077</v>
      </c>
      <c r="N408" s="302">
        <v>0.58637663489174596</v>
      </c>
      <c r="O408" s="302">
        <f t="shared" si="184"/>
        <v>2.2948988580571306</v>
      </c>
    </row>
    <row r="409" spans="1:15" s="236" customFormat="1" x14ac:dyDescent="0.3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3">
      <c r="A410" s="244" t="s">
        <v>32</v>
      </c>
      <c r="B410" s="311">
        <f>SUM(B400:B408)</f>
        <v>70.268999999756161</v>
      </c>
      <c r="C410" s="311">
        <f t="shared" ref="C410:E410" si="186">SUM(C400:C408)</f>
        <v>6.929000000056444</v>
      </c>
      <c r="D410" s="311">
        <f t="shared" si="186"/>
        <v>18.978000000097108</v>
      </c>
      <c r="E410" s="311">
        <f t="shared" si="186"/>
        <v>96.17599999990972</v>
      </c>
      <c r="F410" s="311"/>
      <c r="G410" s="311">
        <f t="shared" ref="G410:J410" si="187">SUM(G400:G408)</f>
        <v>95.501999999616032</v>
      </c>
      <c r="H410" s="311">
        <f t="shared" si="187"/>
        <v>9.2450000000002959</v>
      </c>
      <c r="I410" s="311">
        <f t="shared" si="187"/>
        <v>21.625999999980213</v>
      </c>
      <c r="J410" s="311">
        <f t="shared" si="187"/>
        <v>126.37299999959654</v>
      </c>
      <c r="K410" s="311"/>
      <c r="L410" s="311">
        <f t="shared" ref="L410:O410" si="188">SUM(L400:L408)</f>
        <v>77.404999999890535</v>
      </c>
      <c r="M410" s="311">
        <f t="shared" si="188"/>
        <v>7.3689999999638003</v>
      </c>
      <c r="N410" s="311">
        <f t="shared" si="188"/>
        <v>20.036000000004222</v>
      </c>
      <c r="O410" s="311">
        <f t="shared" si="188"/>
        <v>104.80999999985856</v>
      </c>
    </row>
    <row r="411" spans="1:15" s="236" customFormat="1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3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3">
      <c r="A414" s="241" t="str">
        <f>name!A27</f>
        <v>Electricity, gas, etc</v>
      </c>
      <c r="B414" s="375">
        <f>$B$6</f>
        <v>2015</v>
      </c>
      <c r="C414" s="375"/>
      <c r="D414" s="375"/>
      <c r="E414" s="375"/>
      <c r="F414" s="263"/>
      <c r="G414" s="375">
        <f>$G$6</f>
        <v>2020</v>
      </c>
      <c r="H414" s="375"/>
      <c r="I414" s="375"/>
      <c r="J414" s="375"/>
      <c r="K414" s="263"/>
      <c r="L414" s="375">
        <f>$L$6</f>
        <v>2035</v>
      </c>
      <c r="M414" s="375"/>
      <c r="N414" s="375"/>
      <c r="O414" s="375"/>
    </row>
    <row r="415" spans="1:15" s="236" customFormat="1" x14ac:dyDescent="0.3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3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3">
      <c r="A417" s="237" t="str">
        <f>name!E$4</f>
        <v>Managers, directors and senior officials</v>
      </c>
      <c r="B417" s="302">
        <v>9.6520279901699571</v>
      </c>
      <c r="C417" s="302">
        <v>0.33512701555003543</v>
      </c>
      <c r="D417" s="302">
        <v>1.2396513317145177</v>
      </c>
      <c r="E417" s="302">
        <f>SUM(B417:D417)</f>
        <v>11.22680633743451</v>
      </c>
      <c r="F417" s="303"/>
      <c r="G417" s="302">
        <v>12.691935844248084</v>
      </c>
      <c r="H417" s="302">
        <v>0.54103732391445525</v>
      </c>
      <c r="I417" s="302">
        <v>1.233922506972257</v>
      </c>
      <c r="J417" s="302">
        <f>SUM(G417:I417)</f>
        <v>14.466895675134797</v>
      </c>
      <c r="K417" s="303"/>
      <c r="L417" s="302">
        <v>13.119236415254093</v>
      </c>
      <c r="M417" s="302">
        <v>0.56030089758557255</v>
      </c>
      <c r="N417" s="302">
        <v>1.3616619459253381</v>
      </c>
      <c r="O417" s="302">
        <f>SUM(L417:N417)</f>
        <v>15.041199258765003</v>
      </c>
    </row>
    <row r="418" spans="1:15" s="236" customFormat="1" x14ac:dyDescent="0.3">
      <c r="A418" s="237" t="str">
        <f>name!E$5</f>
        <v>Professional occupations</v>
      </c>
      <c r="B418" s="302">
        <v>19.778158954399615</v>
      </c>
      <c r="C418" s="302">
        <v>0.46449716355863335</v>
      </c>
      <c r="D418" s="302">
        <v>1.5787731206683953</v>
      </c>
      <c r="E418" s="302">
        <f t="shared" ref="E418:E425" si="189">SUM(B418:D418)</f>
        <v>21.821429238626642</v>
      </c>
      <c r="F418" s="303"/>
      <c r="G418" s="302">
        <v>29.161807274915045</v>
      </c>
      <c r="H418" s="302">
        <v>0.63306317472344897</v>
      </c>
      <c r="I418" s="302">
        <v>1.334832049024596</v>
      </c>
      <c r="J418" s="302">
        <f t="shared" ref="J418:J420" si="190">SUM(G418:I418)</f>
        <v>31.129702498663089</v>
      </c>
      <c r="K418" s="303"/>
      <c r="L418" s="302">
        <v>32.317269202436059</v>
      </c>
      <c r="M418" s="302">
        <v>0.67662980947848739</v>
      </c>
      <c r="N418" s="302">
        <v>0.86556893762038845</v>
      </c>
      <c r="O418" s="302">
        <f t="shared" ref="O418:O425" si="191">SUM(L418:N418)</f>
        <v>33.859467949534931</v>
      </c>
    </row>
    <row r="419" spans="1:15" s="236" customFormat="1" x14ac:dyDescent="0.3">
      <c r="A419" s="237" t="str">
        <f>name!E$6</f>
        <v>Associate professional occupations</v>
      </c>
      <c r="B419" s="302">
        <v>12.478178893848803</v>
      </c>
      <c r="C419" s="302">
        <v>0.58545986529588001</v>
      </c>
      <c r="D419" s="302">
        <v>0.74427925541297246</v>
      </c>
      <c r="E419" s="302">
        <f t="shared" si="189"/>
        <v>13.807918014557655</v>
      </c>
      <c r="F419" s="303"/>
      <c r="G419" s="302">
        <v>17.941088046674448</v>
      </c>
      <c r="H419" s="302">
        <v>0.73337701563149471</v>
      </c>
      <c r="I419" s="302">
        <v>0.76983952323554417</v>
      </c>
      <c r="J419" s="302">
        <f t="shared" si="190"/>
        <v>19.444304585541484</v>
      </c>
      <c r="K419" s="303"/>
      <c r="L419" s="302">
        <v>15.495153084666191</v>
      </c>
      <c r="M419" s="302">
        <v>0.72306818313866028</v>
      </c>
      <c r="N419" s="302">
        <v>0.59380790490736435</v>
      </c>
      <c r="O419" s="302">
        <f t="shared" si="191"/>
        <v>16.812029172712215</v>
      </c>
    </row>
    <row r="420" spans="1:15" s="236" customFormat="1" x14ac:dyDescent="0.3">
      <c r="A420" s="237" t="str">
        <f>name!E$7</f>
        <v>Administrative and secretarial occupations</v>
      </c>
      <c r="B420" s="302">
        <v>9.4829520423056621</v>
      </c>
      <c r="C420" s="302">
        <v>1.7266855876970346</v>
      </c>
      <c r="D420" s="302">
        <v>0.40008467870621456</v>
      </c>
      <c r="E420" s="302">
        <f t="shared" si="189"/>
        <v>11.609722308708911</v>
      </c>
      <c r="F420" s="303"/>
      <c r="G420" s="302">
        <v>11.072523131285321</v>
      </c>
      <c r="H420" s="302">
        <v>1.7459185846518257</v>
      </c>
      <c r="I420" s="302">
        <v>0.33401071045781106</v>
      </c>
      <c r="J420" s="302">
        <f t="shared" si="190"/>
        <v>13.152452426394957</v>
      </c>
      <c r="K420" s="303"/>
      <c r="L420" s="302">
        <v>7.7506661741771472</v>
      </c>
      <c r="M420" s="302">
        <v>1.2698251845117114</v>
      </c>
      <c r="N420" s="302">
        <v>0.70071925906083876</v>
      </c>
      <c r="O420" s="302">
        <f t="shared" si="191"/>
        <v>9.721210617749696</v>
      </c>
    </row>
    <row r="421" spans="1:15" s="236" customFormat="1" x14ac:dyDescent="0.3">
      <c r="A421" s="237" t="str">
        <f>name!E$8</f>
        <v>Skilled trades occupations</v>
      </c>
      <c r="B421" s="302">
        <v>17.572990363501056</v>
      </c>
      <c r="C421" s="302">
        <v>0.51791210521156539</v>
      </c>
      <c r="D421" s="302">
        <v>1.5842698339930932</v>
      </c>
      <c r="E421" s="302">
        <f t="shared" si="189"/>
        <v>19.675172302705715</v>
      </c>
      <c r="F421" s="303"/>
      <c r="G421" s="302">
        <v>15.976524038248382</v>
      </c>
      <c r="H421" s="302">
        <v>0.29170370466031004</v>
      </c>
      <c r="I421" s="302">
        <v>1.2894569293637776</v>
      </c>
      <c r="J421" s="302">
        <f>SUM(G421:I421)</f>
        <v>17.557684672272469</v>
      </c>
      <c r="K421" s="303"/>
      <c r="L421" s="302">
        <v>12.6280429627347</v>
      </c>
      <c r="M421" s="302">
        <v>0.25497305446761476</v>
      </c>
      <c r="N421" s="302">
        <v>1.3001997596951167</v>
      </c>
      <c r="O421" s="302">
        <f t="shared" si="191"/>
        <v>14.183215776897431</v>
      </c>
    </row>
    <row r="422" spans="1:15" s="236" customFormat="1" x14ac:dyDescent="0.3">
      <c r="A422" s="237" t="str">
        <f>name!E$9</f>
        <v>Caring, leisure and other service occupations</v>
      </c>
      <c r="B422" s="302">
        <v>1.7553226813901084</v>
      </c>
      <c r="C422" s="302">
        <v>0.28742579330109264</v>
      </c>
      <c r="D422" s="302">
        <v>0.19527791947717468</v>
      </c>
      <c r="E422" s="302">
        <f t="shared" si="189"/>
        <v>2.2380263941683758</v>
      </c>
      <c r="F422" s="303"/>
      <c r="G422" s="302">
        <v>2.2112319964940261</v>
      </c>
      <c r="H422" s="302">
        <v>0.32690076484797154</v>
      </c>
      <c r="I422" s="302">
        <v>0.36372953309134054</v>
      </c>
      <c r="J422" s="302">
        <f t="shared" ref="J422:J425" si="192">SUM(G422:I422)</f>
        <v>2.9018622944333381</v>
      </c>
      <c r="K422" s="303"/>
      <c r="L422" s="302">
        <v>2.3114260255935073</v>
      </c>
      <c r="M422" s="302">
        <v>0.26832315827865805</v>
      </c>
      <c r="N422" s="302">
        <v>0.34382928122274109</v>
      </c>
      <c r="O422" s="302">
        <f t="shared" si="191"/>
        <v>2.9235784650949062</v>
      </c>
    </row>
    <row r="423" spans="1:15" s="236" customFormat="1" x14ac:dyDescent="0.3">
      <c r="A423" s="237" t="str">
        <f>name!E$10</f>
        <v>Sales and customer service occupations</v>
      </c>
      <c r="B423" s="302">
        <v>8.0331630172511588</v>
      </c>
      <c r="C423" s="302">
        <v>2.8199018249577801</v>
      </c>
      <c r="D423" s="302">
        <v>0.71803791192965749</v>
      </c>
      <c r="E423" s="302">
        <f t="shared" si="189"/>
        <v>11.571102754138597</v>
      </c>
      <c r="F423" s="303"/>
      <c r="G423" s="302">
        <v>9.5608566817189935</v>
      </c>
      <c r="H423" s="302">
        <v>3.4481317206411792</v>
      </c>
      <c r="I423" s="302">
        <v>0.40685262861053606</v>
      </c>
      <c r="J423" s="302">
        <f t="shared" si="192"/>
        <v>13.415841030970709</v>
      </c>
      <c r="K423" s="303"/>
      <c r="L423" s="302">
        <v>10.50616949571226</v>
      </c>
      <c r="M423" s="302">
        <v>3.8720037681667279</v>
      </c>
      <c r="N423" s="302">
        <v>0.38205953007408655</v>
      </c>
      <c r="O423" s="302">
        <f t="shared" si="191"/>
        <v>14.760232793953074</v>
      </c>
    </row>
    <row r="424" spans="1:15" s="236" customFormat="1" x14ac:dyDescent="0.3">
      <c r="A424" s="237" t="str">
        <f>name!E$11</f>
        <v>Process, plant and machine operatives</v>
      </c>
      <c r="B424" s="302">
        <v>3.7966766942894647</v>
      </c>
      <c r="C424" s="302">
        <v>0.17334550577226485</v>
      </c>
      <c r="D424" s="302">
        <v>0.67061378201404753</v>
      </c>
      <c r="E424" s="302">
        <f t="shared" si="189"/>
        <v>4.6406359820757768</v>
      </c>
      <c r="F424" s="303"/>
      <c r="G424" s="302">
        <v>3.8170880385565216</v>
      </c>
      <c r="H424" s="302">
        <v>0.16449810970911874</v>
      </c>
      <c r="I424" s="302">
        <v>0.55645435828536993</v>
      </c>
      <c r="J424" s="302">
        <f t="shared" si="192"/>
        <v>4.5380405065510105</v>
      </c>
      <c r="K424" s="303"/>
      <c r="L424" s="302">
        <v>4.0552543822605465</v>
      </c>
      <c r="M424" s="302">
        <v>0.22019034888631808</v>
      </c>
      <c r="N424" s="302">
        <v>0.61961511785553869</v>
      </c>
      <c r="O424" s="302">
        <f t="shared" si="191"/>
        <v>4.8950598490024024</v>
      </c>
    </row>
    <row r="425" spans="1:15" s="236" customFormat="1" x14ac:dyDescent="0.3">
      <c r="A425" s="237" t="str">
        <f>name!E$12</f>
        <v>Elementary occupations</v>
      </c>
      <c r="B425" s="302">
        <v>1.2725293623336684</v>
      </c>
      <c r="C425" s="302">
        <v>0.51664513874603069</v>
      </c>
      <c r="D425" s="302">
        <v>0.40601216606853163</v>
      </c>
      <c r="E425" s="302">
        <f t="shared" si="189"/>
        <v>2.1951866671482305</v>
      </c>
      <c r="F425" s="303"/>
      <c r="G425" s="302">
        <v>1.3179449472307221</v>
      </c>
      <c r="H425" s="302">
        <v>0.4973696013290867</v>
      </c>
      <c r="I425" s="302">
        <v>0.30890176095715183</v>
      </c>
      <c r="J425" s="302">
        <f t="shared" si="192"/>
        <v>2.1242163095169606</v>
      </c>
      <c r="K425" s="303"/>
      <c r="L425" s="302">
        <v>0.7727822566759952</v>
      </c>
      <c r="M425" s="302">
        <v>0.24668559542619098</v>
      </c>
      <c r="N425" s="302">
        <v>0.27853826378915003</v>
      </c>
      <c r="O425" s="302">
        <f t="shared" si="191"/>
        <v>1.2980061158913363</v>
      </c>
    </row>
    <row r="426" spans="1:15" s="236" customFormat="1" x14ac:dyDescent="0.3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3">
      <c r="A427" s="244" t="s">
        <v>32</v>
      </c>
      <c r="B427" s="311">
        <f>SUM(B417:B425)</f>
        <v>83.821999999489492</v>
      </c>
      <c r="C427" s="311">
        <f t="shared" ref="C427:E427" si="193">SUM(C417:C425)</f>
        <v>7.4270000000903185</v>
      </c>
      <c r="D427" s="311">
        <f t="shared" si="193"/>
        <v>7.5369999999846042</v>
      </c>
      <c r="E427" s="311">
        <f t="shared" si="193"/>
        <v>98.78599999956441</v>
      </c>
      <c r="F427" s="311"/>
      <c r="G427" s="311">
        <f t="shared" ref="G427:J427" si="194">SUM(G417:G425)</f>
        <v>103.75099999937154</v>
      </c>
      <c r="H427" s="311">
        <f t="shared" si="194"/>
        <v>8.3820000001088903</v>
      </c>
      <c r="I427" s="311">
        <f t="shared" si="194"/>
        <v>6.5979999999983834</v>
      </c>
      <c r="J427" s="311">
        <f t="shared" si="194"/>
        <v>118.73099999947884</v>
      </c>
      <c r="K427" s="311"/>
      <c r="L427" s="311">
        <f t="shared" ref="L427:O427" si="195">SUM(L417:L425)</f>
        <v>98.955999999510482</v>
      </c>
      <c r="M427" s="311">
        <f t="shared" si="195"/>
        <v>8.0919999999399419</v>
      </c>
      <c r="N427" s="311">
        <f t="shared" si="195"/>
        <v>6.4460000001505637</v>
      </c>
      <c r="O427" s="311">
        <f t="shared" si="195"/>
        <v>113.493999999601</v>
      </c>
    </row>
    <row r="428" spans="1:15" s="236" customFormat="1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3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3">
      <c r="A431" s="241" t="str">
        <f>name!A28</f>
        <v>Water</v>
      </c>
      <c r="B431" s="375">
        <f>$B$6</f>
        <v>2015</v>
      </c>
      <c r="C431" s="375"/>
      <c r="D431" s="375"/>
      <c r="E431" s="375"/>
      <c r="F431" s="263"/>
      <c r="G431" s="375">
        <f>$G$6</f>
        <v>2020</v>
      </c>
      <c r="H431" s="375"/>
      <c r="I431" s="375"/>
      <c r="J431" s="375"/>
      <c r="K431" s="263"/>
      <c r="L431" s="375">
        <f>$L$6</f>
        <v>2035</v>
      </c>
      <c r="M431" s="375"/>
      <c r="N431" s="375"/>
      <c r="O431" s="375"/>
    </row>
    <row r="432" spans="1:15" s="236" customFormat="1" x14ac:dyDescent="0.3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3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3">
      <c r="A434" s="237" t="str">
        <f>name!E$4</f>
        <v>Managers, directors and senior officials</v>
      </c>
      <c r="B434" s="302">
        <v>3.4960872959012357</v>
      </c>
      <c r="C434" s="302">
        <v>0.29607844395149779</v>
      </c>
      <c r="D434" s="302">
        <v>0.2224943735942336</v>
      </c>
      <c r="E434" s="302">
        <f>SUM(B434:D434)</f>
        <v>4.0146601134469675</v>
      </c>
      <c r="F434" s="303"/>
      <c r="G434" s="302">
        <v>4.6050858207871697</v>
      </c>
      <c r="H434" s="302">
        <v>0.40111655255503104</v>
      </c>
      <c r="I434" s="302">
        <v>0.19668003890951086</v>
      </c>
      <c r="J434" s="302">
        <f>SUM(G434:I434)</f>
        <v>5.2028824122517117</v>
      </c>
      <c r="K434" s="303"/>
      <c r="L434" s="302">
        <v>5.2117584162654458</v>
      </c>
      <c r="M434" s="302">
        <v>0.47689027624991853</v>
      </c>
      <c r="N434" s="302">
        <v>0.1967214723742309</v>
      </c>
      <c r="O434" s="302">
        <f>SUM(L434:N434)</f>
        <v>5.8853701648895953</v>
      </c>
    </row>
    <row r="435" spans="1:15" s="236" customFormat="1" x14ac:dyDescent="0.3">
      <c r="A435" s="237" t="str">
        <f>name!E$5</f>
        <v>Professional occupations</v>
      </c>
      <c r="B435" s="302">
        <v>5.2613377091595082</v>
      </c>
      <c r="C435" s="302">
        <v>0.4833414138180922</v>
      </c>
      <c r="D435" s="302">
        <v>0.26650506027529647</v>
      </c>
      <c r="E435" s="302">
        <f t="shared" ref="E435:E442" si="196">SUM(B435:D435)</f>
        <v>6.0111841832528965</v>
      </c>
      <c r="F435" s="303"/>
      <c r="G435" s="302">
        <v>7.724850617104563</v>
      </c>
      <c r="H435" s="302">
        <v>0.59980874182847199</v>
      </c>
      <c r="I435" s="302">
        <v>0.35759908914521499</v>
      </c>
      <c r="J435" s="302">
        <f t="shared" ref="J435:J437" si="197">SUM(G435:I435)</f>
        <v>8.6822584480782492</v>
      </c>
      <c r="K435" s="303"/>
      <c r="L435" s="302">
        <v>10.467117467810375</v>
      </c>
      <c r="M435" s="302">
        <v>0.75594526407034368</v>
      </c>
      <c r="N435" s="302">
        <v>0.35844955844901655</v>
      </c>
      <c r="O435" s="302">
        <f t="shared" ref="O435:O442" si="198">SUM(L435:N435)</f>
        <v>11.581512290329735</v>
      </c>
    </row>
    <row r="436" spans="1:15" s="236" customFormat="1" x14ac:dyDescent="0.3">
      <c r="A436" s="237" t="str">
        <f>name!E$6</f>
        <v>Associate professional occupations</v>
      </c>
      <c r="B436" s="302">
        <v>4.4509592728149689</v>
      </c>
      <c r="C436" s="302">
        <v>0.74537661255722398</v>
      </c>
      <c r="D436" s="302">
        <v>0.2297492301148531</v>
      </c>
      <c r="E436" s="302">
        <f t="shared" si="196"/>
        <v>5.4260851154870462</v>
      </c>
      <c r="F436" s="303"/>
      <c r="G436" s="302">
        <v>5.7621687915156166</v>
      </c>
      <c r="H436" s="302">
        <v>0.86461881047465394</v>
      </c>
      <c r="I436" s="302">
        <v>0.11113803020402165</v>
      </c>
      <c r="J436" s="302">
        <f t="shared" si="197"/>
        <v>6.7379256321942922</v>
      </c>
      <c r="K436" s="303"/>
      <c r="L436" s="302">
        <v>6.2067938065358339</v>
      </c>
      <c r="M436" s="302">
        <v>0.92340834443593678</v>
      </c>
      <c r="N436" s="302">
        <v>0.11966381631618489</v>
      </c>
      <c r="O436" s="302">
        <f t="shared" si="198"/>
        <v>7.2498659672879553</v>
      </c>
    </row>
    <row r="437" spans="1:15" s="236" customFormat="1" x14ac:dyDescent="0.3">
      <c r="A437" s="237" t="str">
        <f>name!E$7</f>
        <v>Administrative and secretarial occupations</v>
      </c>
      <c r="B437" s="302">
        <v>2.5781730064735076</v>
      </c>
      <c r="C437" s="302">
        <v>0.81902125431664285</v>
      </c>
      <c r="D437" s="302">
        <v>9.3026983187931248E-2</v>
      </c>
      <c r="E437" s="302">
        <f t="shared" si="196"/>
        <v>3.4902212439780813</v>
      </c>
      <c r="F437" s="303"/>
      <c r="G437" s="302">
        <v>2.5194641749858051</v>
      </c>
      <c r="H437" s="302">
        <v>0.7091731837603148</v>
      </c>
      <c r="I437" s="302">
        <v>4.3314081742040121E-2</v>
      </c>
      <c r="J437" s="302">
        <f t="shared" si="197"/>
        <v>3.2719514404881602</v>
      </c>
      <c r="K437" s="303"/>
      <c r="L437" s="302">
        <v>2.4145916386903838</v>
      </c>
      <c r="M437" s="302">
        <v>0.67284315206607281</v>
      </c>
      <c r="N437" s="302">
        <v>9.404438712592926E-2</v>
      </c>
      <c r="O437" s="302">
        <f t="shared" si="198"/>
        <v>3.1814791778823861</v>
      </c>
    </row>
    <row r="438" spans="1:15" s="236" customFormat="1" x14ac:dyDescent="0.3">
      <c r="A438" s="237" t="str">
        <f>name!E$8</f>
        <v>Skilled trades occupations</v>
      </c>
      <c r="B438" s="302">
        <v>4.2406931342665084</v>
      </c>
      <c r="C438" s="302">
        <v>0.14776129367338894</v>
      </c>
      <c r="D438" s="302">
        <v>0.32084010755574233</v>
      </c>
      <c r="E438" s="302">
        <f t="shared" si="196"/>
        <v>4.7092945354956397</v>
      </c>
      <c r="F438" s="303"/>
      <c r="G438" s="302">
        <v>4.1154701300898431</v>
      </c>
      <c r="H438" s="302">
        <v>0.12630975294362154</v>
      </c>
      <c r="I438" s="302">
        <v>0.27060776430444966</v>
      </c>
      <c r="J438" s="302">
        <f>SUM(G438:I438)</f>
        <v>4.5123876473379143</v>
      </c>
      <c r="K438" s="303"/>
      <c r="L438" s="302">
        <v>4.0629817738618605</v>
      </c>
      <c r="M438" s="302">
        <v>0.16264776312255497</v>
      </c>
      <c r="N438" s="302">
        <v>0.28497067895403522</v>
      </c>
      <c r="O438" s="302">
        <f t="shared" si="198"/>
        <v>4.5106002159384513</v>
      </c>
    </row>
    <row r="439" spans="1:15" s="236" customFormat="1" x14ac:dyDescent="0.3">
      <c r="A439" s="237" t="str">
        <f>name!E$9</f>
        <v>Caring, leisure and other service occupations</v>
      </c>
      <c r="B439" s="302">
        <v>0.29662684892881996</v>
      </c>
      <c r="C439" s="302">
        <v>0.18357354558847297</v>
      </c>
      <c r="D439" s="302">
        <v>0.19372755470594463</v>
      </c>
      <c r="E439" s="302">
        <f t="shared" si="196"/>
        <v>0.67392794922323751</v>
      </c>
      <c r="F439" s="303"/>
      <c r="G439" s="302">
        <v>0.26899863353471626</v>
      </c>
      <c r="H439" s="302">
        <v>0.1635198909605344</v>
      </c>
      <c r="I439" s="302">
        <v>4.0259691874320921E-2</v>
      </c>
      <c r="J439" s="302">
        <f t="shared" ref="J439:J442" si="199">SUM(G439:I439)</f>
        <v>0.47277821636957157</v>
      </c>
      <c r="K439" s="303"/>
      <c r="L439" s="302">
        <v>0.34726751692701291</v>
      </c>
      <c r="M439" s="302">
        <v>0.16783606244315319</v>
      </c>
      <c r="N439" s="302">
        <v>4.5879181190690968E-2</v>
      </c>
      <c r="O439" s="302">
        <f t="shared" si="198"/>
        <v>0.56098276056085716</v>
      </c>
    </row>
    <row r="440" spans="1:15" s="236" customFormat="1" x14ac:dyDescent="0.3">
      <c r="A440" s="237" t="str">
        <f>name!E$10</f>
        <v>Sales and customer service occupations</v>
      </c>
      <c r="B440" s="302">
        <v>1.3509817471144532</v>
      </c>
      <c r="C440" s="302">
        <v>0.82705735342654696</v>
      </c>
      <c r="D440" s="302">
        <v>9.6873372910547845E-2</v>
      </c>
      <c r="E440" s="302">
        <f t="shared" si="196"/>
        <v>2.2749124734515478</v>
      </c>
      <c r="F440" s="303"/>
      <c r="G440" s="302">
        <v>1.4678940375093206</v>
      </c>
      <c r="H440" s="302">
        <v>0.77424372242463535</v>
      </c>
      <c r="I440" s="302">
        <v>5.0752837540775815E-2</v>
      </c>
      <c r="J440" s="302">
        <f t="shared" si="199"/>
        <v>2.2928905974747318</v>
      </c>
      <c r="K440" s="303"/>
      <c r="L440" s="302">
        <v>1.8469607510397077</v>
      </c>
      <c r="M440" s="302">
        <v>0.99225459515626535</v>
      </c>
      <c r="N440" s="302">
        <v>4.9142675698403616E-2</v>
      </c>
      <c r="O440" s="302">
        <f t="shared" si="198"/>
        <v>2.8883580218943767</v>
      </c>
    </row>
    <row r="441" spans="1:15" s="236" customFormat="1" x14ac:dyDescent="0.3">
      <c r="A441" s="237" t="str">
        <f>name!E$11</f>
        <v>Process, plant and machine operatives</v>
      </c>
      <c r="B441" s="302">
        <v>3.5258646403650471</v>
      </c>
      <c r="C441" s="302">
        <v>0.36923233708514136</v>
      </c>
      <c r="D441" s="302">
        <v>0.1040035400818731</v>
      </c>
      <c r="E441" s="302">
        <f t="shared" si="196"/>
        <v>3.9991005175320615</v>
      </c>
      <c r="F441" s="303"/>
      <c r="G441" s="302">
        <v>3.4084484474251089</v>
      </c>
      <c r="H441" s="302">
        <v>0.45298937039598036</v>
      </c>
      <c r="I441" s="302">
        <v>0.20524760686175661</v>
      </c>
      <c r="J441" s="302">
        <f t="shared" si="199"/>
        <v>4.0666854246828459</v>
      </c>
      <c r="K441" s="303"/>
      <c r="L441" s="302">
        <v>3.7061803424238984</v>
      </c>
      <c r="M441" s="302">
        <v>0.57402000243104501</v>
      </c>
      <c r="N441" s="302">
        <v>0.21629813733142381</v>
      </c>
      <c r="O441" s="302">
        <f t="shared" si="198"/>
        <v>4.4964984821863672</v>
      </c>
    </row>
    <row r="442" spans="1:15" s="236" customFormat="1" x14ac:dyDescent="0.3">
      <c r="A442" s="237" t="str">
        <f>name!E$12</f>
        <v>Elementary occupations</v>
      </c>
      <c r="B442" s="302">
        <v>0.72527634479996683</v>
      </c>
      <c r="C442" s="302">
        <v>0.37455774560164823</v>
      </c>
      <c r="D442" s="302">
        <v>0.26577977758096866</v>
      </c>
      <c r="E442" s="302">
        <f t="shared" si="196"/>
        <v>1.3656138679825838</v>
      </c>
      <c r="F442" s="303"/>
      <c r="G442" s="302">
        <v>0.70961934687124217</v>
      </c>
      <c r="H442" s="302">
        <v>0.33521997467761216</v>
      </c>
      <c r="I442" s="302">
        <v>0.19740085941165136</v>
      </c>
      <c r="J442" s="302">
        <f t="shared" si="199"/>
        <v>1.2422401809605057</v>
      </c>
      <c r="K442" s="303"/>
      <c r="L442" s="302">
        <v>0.54734828642841071</v>
      </c>
      <c r="M442" s="302">
        <v>0.29915454001425984</v>
      </c>
      <c r="N442" s="302">
        <v>0.21583009256510882</v>
      </c>
      <c r="O442" s="302">
        <f t="shared" si="198"/>
        <v>1.0623329190077795</v>
      </c>
    </row>
    <row r="443" spans="1:15" s="236" customFormat="1" x14ac:dyDescent="0.3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3">
      <c r="A444" s="244" t="s">
        <v>32</v>
      </c>
      <c r="B444" s="311">
        <f>SUM(B434:B442)</f>
        <v>25.925999999824015</v>
      </c>
      <c r="C444" s="311">
        <f t="shared" ref="C444:E444" si="200">SUM(C434:C442)</f>
        <v>4.2460000000186557</v>
      </c>
      <c r="D444" s="311">
        <f t="shared" si="200"/>
        <v>1.7930000000073911</v>
      </c>
      <c r="E444" s="311">
        <f t="shared" si="200"/>
        <v>31.964999999850061</v>
      </c>
      <c r="F444" s="311"/>
      <c r="G444" s="311">
        <f t="shared" ref="G444:J444" si="201">SUM(G434:G442)</f>
        <v>30.581999999823388</v>
      </c>
      <c r="H444" s="311">
        <f t="shared" si="201"/>
        <v>4.4270000000208558</v>
      </c>
      <c r="I444" s="311">
        <f t="shared" si="201"/>
        <v>1.472999999993742</v>
      </c>
      <c r="J444" s="311">
        <f t="shared" si="201"/>
        <v>36.481999999837981</v>
      </c>
      <c r="K444" s="311"/>
      <c r="L444" s="311">
        <f t="shared" ref="L444:O444" si="202">SUM(L434:L442)</f>
        <v>34.810999999982926</v>
      </c>
      <c r="M444" s="311">
        <f t="shared" si="202"/>
        <v>5.02499999998955</v>
      </c>
      <c r="N444" s="311">
        <f t="shared" si="202"/>
        <v>1.5810000000050242</v>
      </c>
      <c r="O444" s="311">
        <f t="shared" si="202"/>
        <v>41.416999999977506</v>
      </c>
    </row>
    <row r="445" spans="1:15" s="236" customFormat="1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3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3">
      <c r="A448" s="241" t="str">
        <f>name!A29</f>
        <v>Sewerage</v>
      </c>
      <c r="B448" s="375">
        <f>$B$6</f>
        <v>2015</v>
      </c>
      <c r="C448" s="375"/>
      <c r="D448" s="375"/>
      <c r="E448" s="375"/>
      <c r="F448" s="263"/>
      <c r="G448" s="375">
        <f>$G$6</f>
        <v>2020</v>
      </c>
      <c r="H448" s="375"/>
      <c r="I448" s="375"/>
      <c r="J448" s="375"/>
      <c r="K448" s="263"/>
      <c r="L448" s="375">
        <f>$L$6</f>
        <v>2035</v>
      </c>
      <c r="M448" s="375"/>
      <c r="N448" s="375"/>
      <c r="O448" s="375"/>
    </row>
    <row r="449" spans="1:15" s="236" customFormat="1" x14ac:dyDescent="0.3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3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3">
      <c r="A451" s="237" t="str">
        <f>name!E$4</f>
        <v>Managers, directors and senior officials</v>
      </c>
      <c r="B451" s="302">
        <v>1.8905190599887842</v>
      </c>
      <c r="C451" s="302">
        <v>6.4285299884157376E-2</v>
      </c>
      <c r="D451" s="302">
        <v>0.2153590182467173</v>
      </c>
      <c r="E451" s="302">
        <f>SUM(B451:D451)</f>
        <v>2.1701633781196588</v>
      </c>
      <c r="F451" s="303"/>
      <c r="G451" s="302">
        <v>1.8727002171175271</v>
      </c>
      <c r="H451" s="302">
        <v>6.1570535085052058E-2</v>
      </c>
      <c r="I451" s="302">
        <v>3.6845697384820526E-2</v>
      </c>
      <c r="J451" s="302">
        <f>SUM(G451:I451)</f>
        <v>1.9711164495873996</v>
      </c>
      <c r="K451" s="303"/>
      <c r="L451" s="302">
        <v>2.055398232484535</v>
      </c>
      <c r="M451" s="302">
        <v>7.5642699555544202E-2</v>
      </c>
      <c r="N451" s="302">
        <v>4.129793508381592E-2</v>
      </c>
      <c r="O451" s="302">
        <f>SUM(L451:N451)</f>
        <v>2.1723388671238952</v>
      </c>
    </row>
    <row r="452" spans="1:15" s="236" customFormat="1" x14ac:dyDescent="0.3">
      <c r="A452" s="237" t="str">
        <f>name!E$5</f>
        <v>Professional occupations</v>
      </c>
      <c r="B452" s="302">
        <v>1.795320448140199</v>
      </c>
      <c r="C452" s="302">
        <v>0.19456650259094024</v>
      </c>
      <c r="D452" s="302">
        <v>0.22713173600099207</v>
      </c>
      <c r="E452" s="302">
        <f t="shared" ref="E452:E459" si="203">SUM(B452:D452)</f>
        <v>2.2170186867321311</v>
      </c>
      <c r="F452" s="303"/>
      <c r="G452" s="302">
        <v>2.0213967703035505</v>
      </c>
      <c r="H452" s="302">
        <v>0.19069975892255112</v>
      </c>
      <c r="I452" s="302">
        <v>3.9421564176902298E-2</v>
      </c>
      <c r="J452" s="302">
        <f t="shared" ref="J452:J454" si="204">SUM(G452:I452)</f>
        <v>2.2515180934030039</v>
      </c>
      <c r="K452" s="303"/>
      <c r="L452" s="302">
        <v>2.4837244849043856</v>
      </c>
      <c r="M452" s="302">
        <v>0.25927961800576871</v>
      </c>
      <c r="N452" s="302">
        <v>3.5983406222149135E-2</v>
      </c>
      <c r="O452" s="302">
        <f t="shared" ref="O452:O459" si="205">SUM(L452:N452)</f>
        <v>2.7789875091323033</v>
      </c>
    </row>
    <row r="453" spans="1:15" s="236" customFormat="1" x14ac:dyDescent="0.3">
      <c r="A453" s="237" t="str">
        <f>name!E$6</f>
        <v>Associate professional occupations</v>
      </c>
      <c r="B453" s="302">
        <v>2.2528826053348681</v>
      </c>
      <c r="C453" s="302">
        <v>0.46830078249195778</v>
      </c>
      <c r="D453" s="302">
        <v>0.18832732581747802</v>
      </c>
      <c r="E453" s="302">
        <f t="shared" si="203"/>
        <v>2.9095107136443037</v>
      </c>
      <c r="F453" s="303"/>
      <c r="G453" s="302">
        <v>2.6442273918785424</v>
      </c>
      <c r="H453" s="302">
        <v>0.31480854980469158</v>
      </c>
      <c r="I453" s="302">
        <v>2.7294049414394918E-2</v>
      </c>
      <c r="J453" s="302">
        <f t="shared" si="204"/>
        <v>2.9863299910976289</v>
      </c>
      <c r="K453" s="303"/>
      <c r="L453" s="302">
        <v>3.6540447213201133</v>
      </c>
      <c r="M453" s="302">
        <v>0.41094767119332687</v>
      </c>
      <c r="N453" s="302">
        <v>2.4592096750737535E-2</v>
      </c>
      <c r="O453" s="302">
        <f t="shared" si="205"/>
        <v>4.0895844892641779</v>
      </c>
    </row>
    <row r="454" spans="1:15" s="236" customFormat="1" x14ac:dyDescent="0.3">
      <c r="A454" s="237" t="str">
        <f>name!E$7</f>
        <v>Administrative and secretarial occupations</v>
      </c>
      <c r="B454" s="302">
        <v>1.2309905610158487</v>
      </c>
      <c r="C454" s="302">
        <v>0.54376488719260729</v>
      </c>
      <c r="D454" s="302">
        <v>4.9591124333469662E-2</v>
      </c>
      <c r="E454" s="302">
        <f t="shared" si="203"/>
        <v>1.8243465725419257</v>
      </c>
      <c r="F454" s="303"/>
      <c r="G454" s="302">
        <v>1.516788821710267</v>
      </c>
      <c r="H454" s="302">
        <v>0.36194378313430764</v>
      </c>
      <c r="I454" s="302">
        <v>6.2208081756194586E-3</v>
      </c>
      <c r="J454" s="302">
        <f t="shared" si="204"/>
        <v>1.8849534130201941</v>
      </c>
      <c r="K454" s="303"/>
      <c r="L454" s="302">
        <v>1.1080314332953252</v>
      </c>
      <c r="M454" s="302">
        <v>0.33492914583465949</v>
      </c>
      <c r="N454" s="302">
        <v>6.624157947499841E-3</v>
      </c>
      <c r="O454" s="302">
        <f t="shared" si="205"/>
        <v>1.4495847370774846</v>
      </c>
    </row>
    <row r="455" spans="1:15" s="236" customFormat="1" x14ac:dyDescent="0.3">
      <c r="A455" s="237" t="str">
        <f>name!E$8</f>
        <v>Skilled trades occupations</v>
      </c>
      <c r="B455" s="302">
        <v>0.87588672759624164</v>
      </c>
      <c r="C455" s="302">
        <v>7.6189694076181494E-2</v>
      </c>
      <c r="D455" s="302">
        <v>0.56660573884144294</v>
      </c>
      <c r="E455" s="302">
        <f t="shared" si="203"/>
        <v>1.5186821605138661</v>
      </c>
      <c r="F455" s="303"/>
      <c r="G455" s="302">
        <v>0.6613314399816288</v>
      </c>
      <c r="H455" s="302">
        <v>4.7808387135433235E-2</v>
      </c>
      <c r="I455" s="302">
        <v>8.3309556663403242E-2</v>
      </c>
      <c r="J455" s="302">
        <f>SUM(G455:I455)</f>
        <v>0.79244938378046526</v>
      </c>
      <c r="K455" s="303"/>
      <c r="L455" s="302">
        <v>0.66919465501238007</v>
      </c>
      <c r="M455" s="302">
        <v>6.8099543898941878E-2</v>
      </c>
      <c r="N455" s="302">
        <v>0.10151251785029784</v>
      </c>
      <c r="O455" s="302">
        <f t="shared" si="205"/>
        <v>0.83880671676161978</v>
      </c>
    </row>
    <row r="456" spans="1:15" s="236" customFormat="1" x14ac:dyDescent="0.3">
      <c r="A456" s="237" t="str">
        <f>name!E$9</f>
        <v>Caring, leisure and other service occupations</v>
      </c>
      <c r="B456" s="302">
        <v>0.47865679644597381</v>
      </c>
      <c r="C456" s="302">
        <v>0.11616446670338873</v>
      </c>
      <c r="D456" s="302">
        <v>0.10868918044314591</v>
      </c>
      <c r="E456" s="302">
        <f t="shared" si="203"/>
        <v>0.70351044359250847</v>
      </c>
      <c r="F456" s="303"/>
      <c r="G456" s="302">
        <v>0.57461217778000762</v>
      </c>
      <c r="H456" s="302">
        <v>0.13502247753375221</v>
      </c>
      <c r="I456" s="302">
        <v>1.5339523025668393E-2</v>
      </c>
      <c r="J456" s="302">
        <f t="shared" ref="J456:J459" si="206">SUM(G456:I456)</f>
        <v>0.72497417833942823</v>
      </c>
      <c r="K456" s="303"/>
      <c r="L456" s="302">
        <v>0.76323949186133611</v>
      </c>
      <c r="M456" s="302">
        <v>0.18818214192637434</v>
      </c>
      <c r="N456" s="302">
        <v>1.8897688226396682E-2</v>
      </c>
      <c r="O456" s="302">
        <f t="shared" si="205"/>
        <v>0.97031932201410709</v>
      </c>
    </row>
    <row r="457" spans="1:15" s="236" customFormat="1" x14ac:dyDescent="0.3">
      <c r="A457" s="237" t="str">
        <f>name!E$10</f>
        <v>Sales and customer service occupations</v>
      </c>
      <c r="B457" s="302">
        <v>0.33803144710446215</v>
      </c>
      <c r="C457" s="302">
        <v>0.19149140522512345</v>
      </c>
      <c r="D457" s="302">
        <v>7.6892087982886104E-2</v>
      </c>
      <c r="E457" s="302">
        <f t="shared" si="203"/>
        <v>0.60641494031247167</v>
      </c>
      <c r="F457" s="303"/>
      <c r="G457" s="302">
        <v>0.37729537494211163</v>
      </c>
      <c r="H457" s="302">
        <v>0.19591080976283948</v>
      </c>
      <c r="I457" s="302">
        <v>8.5241053017327401E-3</v>
      </c>
      <c r="J457" s="302">
        <f t="shared" si="206"/>
        <v>0.58173029000668386</v>
      </c>
      <c r="K457" s="303"/>
      <c r="L457" s="302">
        <v>0.43018297141455486</v>
      </c>
      <c r="M457" s="302">
        <v>0.25991384842328974</v>
      </c>
      <c r="N457" s="302">
        <v>6.9986313431735954E-3</v>
      </c>
      <c r="O457" s="302">
        <f t="shared" si="205"/>
        <v>0.69709545118101812</v>
      </c>
    </row>
    <row r="458" spans="1:15" s="236" customFormat="1" x14ac:dyDescent="0.3">
      <c r="A458" s="237" t="str">
        <f>name!E$11</f>
        <v>Process, plant and machine operatives</v>
      </c>
      <c r="B458" s="302">
        <v>4.4187665317238842</v>
      </c>
      <c r="C458" s="302">
        <v>6.0790901648487508E-2</v>
      </c>
      <c r="D458" s="302">
        <v>8.6790265856419649E-2</v>
      </c>
      <c r="E458" s="302">
        <f t="shared" si="203"/>
        <v>4.5663476992287908</v>
      </c>
      <c r="F458" s="303"/>
      <c r="G458" s="302">
        <v>3.6089775404716922</v>
      </c>
      <c r="H458" s="302">
        <v>5.0437519231067152E-2</v>
      </c>
      <c r="I458" s="302">
        <v>1.8101458612969683E-2</v>
      </c>
      <c r="J458" s="302">
        <f t="shared" si="206"/>
        <v>3.6775165183157288</v>
      </c>
      <c r="K458" s="303"/>
      <c r="L458" s="302">
        <v>4.2799409609338621</v>
      </c>
      <c r="M458" s="302">
        <v>7.0747856658057856E-2</v>
      </c>
      <c r="N458" s="302">
        <v>2.1040688263193535E-2</v>
      </c>
      <c r="O458" s="302">
        <f t="shared" si="205"/>
        <v>4.3717295058551136</v>
      </c>
    </row>
    <row r="459" spans="1:15" s="236" customFormat="1" x14ac:dyDescent="0.3">
      <c r="A459" s="237" t="str">
        <f>name!E$12</f>
        <v>Elementary occupations</v>
      </c>
      <c r="B459" s="302">
        <v>4.5839458227057337</v>
      </c>
      <c r="C459" s="302">
        <v>0.67344606021603037</v>
      </c>
      <c r="D459" s="302">
        <v>0.14161352247821687</v>
      </c>
      <c r="E459" s="302">
        <f t="shared" si="203"/>
        <v>5.399005405399981</v>
      </c>
      <c r="F459" s="303"/>
      <c r="G459" s="302">
        <v>4.1256702658521336</v>
      </c>
      <c r="H459" s="302">
        <v>0.45879817939447803</v>
      </c>
      <c r="I459" s="302">
        <v>1.5943237242821363E-2</v>
      </c>
      <c r="J459" s="302">
        <f t="shared" si="206"/>
        <v>4.6004116824894323</v>
      </c>
      <c r="K459" s="303"/>
      <c r="L459" s="302">
        <v>4.3772430489383387</v>
      </c>
      <c r="M459" s="302">
        <v>0.45725747450486315</v>
      </c>
      <c r="N459" s="302">
        <v>2.3052878310701175E-2</v>
      </c>
      <c r="O459" s="302">
        <f t="shared" si="205"/>
        <v>4.8575534017539033</v>
      </c>
    </row>
    <row r="460" spans="1:15" s="236" customFormat="1" x14ac:dyDescent="0.3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3">
      <c r="A461" s="244" t="s">
        <v>32</v>
      </c>
      <c r="B461" s="311">
        <f>SUM(B451:B459)</f>
        <v>17.865000000055996</v>
      </c>
      <c r="C461" s="311">
        <f t="shared" ref="C461:E461" si="207">SUM(C451:C459)</f>
        <v>2.3890000000288745</v>
      </c>
      <c r="D461" s="311">
        <f t="shared" si="207"/>
        <v>1.6610000000007683</v>
      </c>
      <c r="E461" s="311">
        <f t="shared" si="207"/>
        <v>21.915000000085641</v>
      </c>
      <c r="F461" s="311"/>
      <c r="G461" s="311">
        <f t="shared" ref="G461:J461" si="208">SUM(G451:G459)</f>
        <v>17.403000000037462</v>
      </c>
      <c r="H461" s="311">
        <f t="shared" si="208"/>
        <v>1.8170000000041724</v>
      </c>
      <c r="I461" s="311">
        <f t="shared" si="208"/>
        <v>0.25099999999833267</v>
      </c>
      <c r="J461" s="311">
        <f t="shared" si="208"/>
        <v>19.471000000039965</v>
      </c>
      <c r="K461" s="311"/>
      <c r="L461" s="311">
        <f t="shared" ref="L461:O461" si="209">SUM(L451:L459)</f>
        <v>19.82100000016483</v>
      </c>
      <c r="M461" s="311">
        <f t="shared" si="209"/>
        <v>2.125000000000826</v>
      </c>
      <c r="N461" s="311">
        <f t="shared" si="209"/>
        <v>0.27999999999796532</v>
      </c>
      <c r="O461" s="311">
        <f t="shared" si="209"/>
        <v>22.226000000163626</v>
      </c>
    </row>
    <row r="462" spans="1:15" s="236" customFormat="1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3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3">
      <c r="A465" s="241" t="str">
        <f>name!A30</f>
        <v>Waste management</v>
      </c>
      <c r="B465" s="375">
        <f>$B$6</f>
        <v>2015</v>
      </c>
      <c r="C465" s="375"/>
      <c r="D465" s="375"/>
      <c r="E465" s="375"/>
      <c r="F465" s="263"/>
      <c r="G465" s="375">
        <f>$G$6</f>
        <v>2020</v>
      </c>
      <c r="H465" s="375"/>
      <c r="I465" s="375"/>
      <c r="J465" s="375"/>
      <c r="K465" s="263"/>
      <c r="L465" s="375">
        <f>$L$6</f>
        <v>2035</v>
      </c>
      <c r="M465" s="375"/>
      <c r="N465" s="375"/>
      <c r="O465" s="375"/>
    </row>
    <row r="466" spans="1:15" s="236" customFormat="1" x14ac:dyDescent="0.3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3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3">
      <c r="A468" s="237" t="str">
        <f>name!E$4</f>
        <v>Managers, directors and senior officials</v>
      </c>
      <c r="B468" s="302">
        <v>10.041603972627835</v>
      </c>
      <c r="C468" s="302">
        <v>0.5292062125242073</v>
      </c>
      <c r="D468" s="302">
        <v>1.1314622926176896</v>
      </c>
      <c r="E468" s="302">
        <f>SUM(B468:D468)</f>
        <v>11.70227247776973</v>
      </c>
      <c r="F468" s="303"/>
      <c r="G468" s="302">
        <v>11.942893659350487</v>
      </c>
      <c r="H468" s="302">
        <v>1.3905201212835676</v>
      </c>
      <c r="I468" s="302">
        <v>1.2745154344192779</v>
      </c>
      <c r="J468" s="302">
        <f>SUM(G468:I468)</f>
        <v>14.607929215053332</v>
      </c>
      <c r="K468" s="303"/>
      <c r="L468" s="302">
        <v>13.979161527638643</v>
      </c>
      <c r="M468" s="302">
        <v>1.9251793101506023</v>
      </c>
      <c r="N468" s="302">
        <v>1.4682049582655323</v>
      </c>
      <c r="O468" s="302">
        <f>SUM(L468:N468)</f>
        <v>17.372545796054776</v>
      </c>
    </row>
    <row r="469" spans="1:15" s="236" customFormat="1" x14ac:dyDescent="0.3">
      <c r="A469" s="237" t="str">
        <f>name!E$5</f>
        <v>Professional occupations</v>
      </c>
      <c r="B469" s="302">
        <v>8.4210808824357226</v>
      </c>
      <c r="C469" s="302">
        <v>0.99909206880057966</v>
      </c>
      <c r="D469" s="302">
        <v>0.32517921369648212</v>
      </c>
      <c r="E469" s="302">
        <f t="shared" ref="E469:E476" si="210">SUM(B469:D469)</f>
        <v>9.7453521649327843</v>
      </c>
      <c r="F469" s="303"/>
      <c r="G469" s="302">
        <v>10.711834274095327</v>
      </c>
      <c r="H469" s="302">
        <v>1.6041694921547975</v>
      </c>
      <c r="I469" s="302">
        <v>0.32433917156198266</v>
      </c>
      <c r="J469" s="302">
        <f t="shared" ref="J469:J471" si="211">SUM(G469:I469)</f>
        <v>12.640342937812107</v>
      </c>
      <c r="K469" s="303"/>
      <c r="L469" s="302">
        <v>13.061328614605966</v>
      </c>
      <c r="M469" s="302">
        <v>2.0104878607784444</v>
      </c>
      <c r="N469" s="302">
        <v>0.31963977019220408</v>
      </c>
      <c r="O469" s="302">
        <f t="shared" ref="O469:O476" si="212">SUM(L469:N469)</f>
        <v>15.391456245576613</v>
      </c>
    </row>
    <row r="470" spans="1:15" s="236" customFormat="1" x14ac:dyDescent="0.3">
      <c r="A470" s="237" t="str">
        <f>name!E$6</f>
        <v>Associate professional occupations</v>
      </c>
      <c r="B470" s="302">
        <v>10.087538018693895</v>
      </c>
      <c r="C470" s="302">
        <v>1.1386593913834546</v>
      </c>
      <c r="D470" s="302">
        <v>0.33631823597508109</v>
      </c>
      <c r="E470" s="302">
        <f t="shared" si="210"/>
        <v>11.562515646052431</v>
      </c>
      <c r="F470" s="303"/>
      <c r="G470" s="302">
        <v>11.712577243285692</v>
      </c>
      <c r="H470" s="302">
        <v>1.4871864455256945</v>
      </c>
      <c r="I470" s="302">
        <v>0.27633678523934641</v>
      </c>
      <c r="J470" s="302">
        <f t="shared" si="211"/>
        <v>13.476100474050732</v>
      </c>
      <c r="K470" s="303"/>
      <c r="L470" s="302">
        <v>15.068949964485993</v>
      </c>
      <c r="M470" s="302">
        <v>1.65197811142115</v>
      </c>
      <c r="N470" s="302">
        <v>0.29879588214929337</v>
      </c>
      <c r="O470" s="302">
        <f t="shared" si="212"/>
        <v>17.019723958056435</v>
      </c>
    </row>
    <row r="471" spans="1:15" s="236" customFormat="1" x14ac:dyDescent="0.3">
      <c r="A471" s="237" t="str">
        <f>name!E$7</f>
        <v>Administrative and secretarial occupations</v>
      </c>
      <c r="B471" s="302">
        <v>6.0604565639567785</v>
      </c>
      <c r="C471" s="302">
        <v>2.6938027930855113</v>
      </c>
      <c r="D471" s="302">
        <v>8.7407596696272696E-2</v>
      </c>
      <c r="E471" s="302">
        <f t="shared" si="210"/>
        <v>8.8416669537385637</v>
      </c>
      <c r="F471" s="303"/>
      <c r="G471" s="302">
        <v>5.6820952588117839</v>
      </c>
      <c r="H471" s="302">
        <v>3.6181301167823126</v>
      </c>
      <c r="I471" s="302">
        <v>5.4622729458290123E-2</v>
      </c>
      <c r="J471" s="302">
        <f t="shared" si="211"/>
        <v>9.3548481050523851</v>
      </c>
      <c r="K471" s="303"/>
      <c r="L471" s="302">
        <v>4.9856789962480219</v>
      </c>
      <c r="M471" s="302">
        <v>3.5025202441401326</v>
      </c>
      <c r="N471" s="302">
        <v>6.6376788599400008E-2</v>
      </c>
      <c r="O471" s="302">
        <f t="shared" si="212"/>
        <v>8.5545760289875563</v>
      </c>
    </row>
    <row r="472" spans="1:15" s="236" customFormat="1" x14ac:dyDescent="0.3">
      <c r="A472" s="237" t="str">
        <f>name!E$8</f>
        <v>Skilled trades occupations</v>
      </c>
      <c r="B472" s="302">
        <v>6.5812616774056334</v>
      </c>
      <c r="C472" s="302">
        <v>1.2532089552941361</v>
      </c>
      <c r="D472" s="302">
        <v>2.4737880818194946</v>
      </c>
      <c r="E472" s="302">
        <f t="shared" si="210"/>
        <v>10.308258714519264</v>
      </c>
      <c r="F472" s="303"/>
      <c r="G472" s="302">
        <v>6.1206530958871026</v>
      </c>
      <c r="H472" s="302">
        <v>1.8919063441183241</v>
      </c>
      <c r="I472" s="302">
        <v>2.0028171900935088</v>
      </c>
      <c r="J472" s="302">
        <f>SUM(G472:I472)</f>
        <v>10.015376630098936</v>
      </c>
      <c r="K472" s="303"/>
      <c r="L472" s="302">
        <v>6.9771139516110665</v>
      </c>
      <c r="M472" s="302">
        <v>2.7581142834052406</v>
      </c>
      <c r="N472" s="302">
        <v>1.8117725361332375</v>
      </c>
      <c r="O472" s="302">
        <f t="shared" si="212"/>
        <v>11.547000771149545</v>
      </c>
    </row>
    <row r="473" spans="1:15" s="236" customFormat="1" x14ac:dyDescent="0.3">
      <c r="A473" s="237" t="str">
        <f>name!E$9</f>
        <v>Caring, leisure and other service occupations</v>
      </c>
      <c r="B473" s="302">
        <v>2.2852920375825017</v>
      </c>
      <c r="C473" s="302">
        <v>0.47671961595164147</v>
      </c>
      <c r="D473" s="302">
        <v>4.6775645310837305E-2</v>
      </c>
      <c r="E473" s="302">
        <f t="shared" si="210"/>
        <v>2.8087872988449805</v>
      </c>
      <c r="F473" s="303"/>
      <c r="G473" s="302">
        <v>2.3847100147699019</v>
      </c>
      <c r="H473" s="302">
        <v>0.55807054752290786</v>
      </c>
      <c r="I473" s="302">
        <v>4.0012381828007551E-2</v>
      </c>
      <c r="J473" s="302">
        <f t="shared" ref="J473:J476" si="213">SUM(G473:I473)</f>
        <v>2.982792944120817</v>
      </c>
      <c r="K473" s="303"/>
      <c r="L473" s="302">
        <v>3.207882584992003</v>
      </c>
      <c r="M473" s="302">
        <v>0.61491264128602208</v>
      </c>
      <c r="N473" s="302">
        <v>6.00086940743082E-2</v>
      </c>
      <c r="O473" s="302">
        <f t="shared" si="212"/>
        <v>3.882803920352333</v>
      </c>
    </row>
    <row r="474" spans="1:15" s="236" customFormat="1" x14ac:dyDescent="0.3">
      <c r="A474" s="237" t="str">
        <f>name!E$10</f>
        <v>Sales and customer service occupations</v>
      </c>
      <c r="B474" s="302">
        <v>2.0504641195306315</v>
      </c>
      <c r="C474" s="302">
        <v>0.91408672422014225</v>
      </c>
      <c r="D474" s="302">
        <v>0.22405155854744596</v>
      </c>
      <c r="E474" s="302">
        <f t="shared" si="210"/>
        <v>3.1886024022982196</v>
      </c>
      <c r="F474" s="303"/>
      <c r="G474" s="302">
        <v>2.1036241092156245</v>
      </c>
      <c r="H474" s="302">
        <v>1.3858903454753908</v>
      </c>
      <c r="I474" s="302">
        <v>0.20759293180323438</v>
      </c>
      <c r="J474" s="302">
        <f t="shared" si="213"/>
        <v>3.6971073864942499</v>
      </c>
      <c r="K474" s="303"/>
      <c r="L474" s="302">
        <v>2.6802999806101586</v>
      </c>
      <c r="M474" s="302">
        <v>1.3627130451212215</v>
      </c>
      <c r="N474" s="302">
        <v>0.18140573718172909</v>
      </c>
      <c r="O474" s="302">
        <f t="shared" si="212"/>
        <v>4.2244187629131087</v>
      </c>
    </row>
    <row r="475" spans="1:15" s="236" customFormat="1" x14ac:dyDescent="0.3">
      <c r="A475" s="237" t="str">
        <f>name!E$11</f>
        <v>Process, plant and machine operatives</v>
      </c>
      <c r="B475" s="302">
        <v>26.779371296541989</v>
      </c>
      <c r="C475" s="302">
        <v>1.0867194948422194</v>
      </c>
      <c r="D475" s="302">
        <v>0.38307322902860075</v>
      </c>
      <c r="E475" s="302">
        <f t="shared" si="210"/>
        <v>28.24916402041281</v>
      </c>
      <c r="F475" s="303"/>
      <c r="G475" s="302">
        <v>24.685462235217461</v>
      </c>
      <c r="H475" s="302">
        <v>2.4469955818908269</v>
      </c>
      <c r="I475" s="302">
        <v>0.4087908034902395</v>
      </c>
      <c r="J475" s="302">
        <f t="shared" si="213"/>
        <v>27.54124862059853</v>
      </c>
      <c r="K475" s="303"/>
      <c r="L475" s="302">
        <v>29.715091523911905</v>
      </c>
      <c r="M475" s="302">
        <v>3.090368745811078</v>
      </c>
      <c r="N475" s="302">
        <v>0.36206570858582104</v>
      </c>
      <c r="O475" s="302">
        <f t="shared" si="212"/>
        <v>33.167525978308809</v>
      </c>
    </row>
    <row r="476" spans="1:15" s="236" customFormat="1" x14ac:dyDescent="0.3">
      <c r="A476" s="237" t="str">
        <f>name!E$12</f>
        <v>Elementary occupations</v>
      </c>
      <c r="B476" s="302">
        <v>20.971931431379026</v>
      </c>
      <c r="C476" s="302">
        <v>1.6955047439785371</v>
      </c>
      <c r="D476" s="302">
        <v>0.39694414625030561</v>
      </c>
      <c r="E476" s="302">
        <f t="shared" si="210"/>
        <v>23.064380321607871</v>
      </c>
      <c r="F476" s="303"/>
      <c r="G476" s="302">
        <v>19.669150109408392</v>
      </c>
      <c r="H476" s="302">
        <v>1.4501310052287262</v>
      </c>
      <c r="I476" s="302">
        <v>0.2249725720321307</v>
      </c>
      <c r="J476" s="302">
        <f t="shared" si="213"/>
        <v>21.344253686669248</v>
      </c>
      <c r="K476" s="303"/>
      <c r="L476" s="302">
        <v>18.196492856286785</v>
      </c>
      <c r="M476" s="302">
        <v>1.174725757907858</v>
      </c>
      <c r="N476" s="302">
        <v>0.26972992472625651</v>
      </c>
      <c r="O476" s="302">
        <f t="shared" si="212"/>
        <v>19.640948538920899</v>
      </c>
    </row>
    <row r="477" spans="1:15" s="236" customFormat="1" x14ac:dyDescent="0.3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3">
      <c r="A478" s="244" t="s">
        <v>32</v>
      </c>
      <c r="B478" s="311">
        <f>SUM(B468:B476)</f>
        <v>93.279000000154014</v>
      </c>
      <c r="C478" s="311">
        <f t="shared" ref="C478:E478" si="214">SUM(C468:C476)</f>
        <v>10.787000000080429</v>
      </c>
      <c r="D478" s="311">
        <f t="shared" si="214"/>
        <v>5.4049999999422091</v>
      </c>
      <c r="E478" s="311">
        <f t="shared" si="214"/>
        <v>109.47100000017666</v>
      </c>
      <c r="F478" s="311"/>
      <c r="G478" s="311">
        <f t="shared" ref="G478:J478" si="215">SUM(G468:G476)</f>
        <v>95.013000000041771</v>
      </c>
      <c r="H478" s="311">
        <f t="shared" si="215"/>
        <v>15.832999999982547</v>
      </c>
      <c r="I478" s="311">
        <f t="shared" si="215"/>
        <v>4.8139999999260175</v>
      </c>
      <c r="J478" s="311">
        <f t="shared" si="215"/>
        <v>115.65999999995034</v>
      </c>
      <c r="K478" s="311"/>
      <c r="L478" s="311">
        <f t="shared" ref="L478:O478" si="216">SUM(L468:L476)</f>
        <v>107.87200000039054</v>
      </c>
      <c r="M478" s="311">
        <f t="shared" si="216"/>
        <v>18.091000000021747</v>
      </c>
      <c r="N478" s="311">
        <f t="shared" si="216"/>
        <v>4.8379999999077823</v>
      </c>
      <c r="O478" s="311">
        <f t="shared" si="216"/>
        <v>130.80100000032004</v>
      </c>
    </row>
    <row r="479" spans="1:15" s="236" customFormat="1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3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3">
      <c r="A482" s="241" t="str">
        <f>name!A31</f>
        <v>Construction</v>
      </c>
      <c r="B482" s="375">
        <f>$B$6</f>
        <v>2015</v>
      </c>
      <c r="C482" s="375"/>
      <c r="D482" s="375"/>
      <c r="E482" s="375"/>
      <c r="F482" s="263"/>
      <c r="G482" s="375">
        <f>$G$6</f>
        <v>2020</v>
      </c>
      <c r="H482" s="375"/>
      <c r="I482" s="375"/>
      <c r="J482" s="375"/>
      <c r="K482" s="263"/>
      <c r="L482" s="375">
        <f>$L$6</f>
        <v>2035</v>
      </c>
      <c r="M482" s="375"/>
      <c r="N482" s="375"/>
      <c r="O482" s="375"/>
    </row>
    <row r="483" spans="1:15" s="236" customFormat="1" x14ac:dyDescent="0.3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3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3">
      <c r="A485" s="237" t="str">
        <f>name!E$4</f>
        <v>Managers, directors and senior officials</v>
      </c>
      <c r="B485" s="302">
        <v>39.530970266494137</v>
      </c>
      <c r="C485" s="302">
        <v>3.6250343514319909</v>
      </c>
      <c r="D485" s="302">
        <v>10.649469093064198</v>
      </c>
      <c r="E485" s="302">
        <f>SUM(B485:D485)</f>
        <v>53.805473710990327</v>
      </c>
      <c r="F485" s="303"/>
      <c r="G485" s="302">
        <v>56.000127686835185</v>
      </c>
      <c r="H485" s="302">
        <v>7.7669363012849901</v>
      </c>
      <c r="I485" s="302">
        <v>21.137801193617339</v>
      </c>
      <c r="J485" s="302">
        <f>SUM(G485:I485)</f>
        <v>84.90486518173752</v>
      </c>
      <c r="K485" s="303"/>
      <c r="L485" s="302">
        <v>67.096749575863086</v>
      </c>
      <c r="M485" s="302">
        <v>9.5767054623764949</v>
      </c>
      <c r="N485" s="302">
        <v>24.342273685188708</v>
      </c>
      <c r="O485" s="302">
        <f>SUM(L485:N485)</f>
        <v>101.01572872342828</v>
      </c>
    </row>
    <row r="486" spans="1:15" s="236" customFormat="1" x14ac:dyDescent="0.3">
      <c r="A486" s="237" t="str">
        <f>name!E$5</f>
        <v>Professional occupations</v>
      </c>
      <c r="B486" s="302">
        <v>49.540245152458141</v>
      </c>
      <c r="C486" s="302">
        <v>2.5084433616755795</v>
      </c>
      <c r="D486" s="302">
        <v>5.7037161893581567</v>
      </c>
      <c r="E486" s="302">
        <f t="shared" ref="E486:E493" si="217">SUM(B486:D486)</f>
        <v>57.752404703491877</v>
      </c>
      <c r="F486" s="303"/>
      <c r="G486" s="302">
        <v>79.659664795559308</v>
      </c>
      <c r="H486" s="302">
        <v>4.8781839092462995</v>
      </c>
      <c r="I486" s="302">
        <v>9.2651277637092289</v>
      </c>
      <c r="J486" s="302">
        <f t="shared" ref="J486:J488" si="218">SUM(G486:I486)</f>
        <v>93.802976468514842</v>
      </c>
      <c r="K486" s="303"/>
      <c r="L486" s="302">
        <v>112.65883720563568</v>
      </c>
      <c r="M486" s="302">
        <v>6.2443880137311707</v>
      </c>
      <c r="N486" s="302">
        <v>8.231845311553716</v>
      </c>
      <c r="O486" s="302">
        <f t="shared" ref="O486:O493" si="219">SUM(L486:N486)</f>
        <v>127.13507053092056</v>
      </c>
    </row>
    <row r="487" spans="1:15" s="236" customFormat="1" x14ac:dyDescent="0.3">
      <c r="A487" s="237" t="str">
        <f>name!E$6</f>
        <v>Associate professional occupations</v>
      </c>
      <c r="B487" s="302">
        <v>29.88864439296929</v>
      </c>
      <c r="C487" s="302">
        <v>3.1334572323525753</v>
      </c>
      <c r="D487" s="302">
        <v>2.6040589406826933</v>
      </c>
      <c r="E487" s="302">
        <f t="shared" si="217"/>
        <v>35.626160566004557</v>
      </c>
      <c r="F487" s="303"/>
      <c r="G487" s="302">
        <v>45.024397722331791</v>
      </c>
      <c r="H487" s="302">
        <v>5.2112231222775334</v>
      </c>
      <c r="I487" s="302">
        <v>3.9540472764570715</v>
      </c>
      <c r="J487" s="302">
        <f t="shared" si="218"/>
        <v>54.18966812106639</v>
      </c>
      <c r="K487" s="303"/>
      <c r="L487" s="302">
        <v>51.675808787408563</v>
      </c>
      <c r="M487" s="302">
        <v>5.4989335262162644</v>
      </c>
      <c r="N487" s="302">
        <v>4.2491373201179785</v>
      </c>
      <c r="O487" s="302">
        <f t="shared" si="219"/>
        <v>61.423879633742807</v>
      </c>
    </row>
    <row r="488" spans="1:15" s="236" customFormat="1" x14ac:dyDescent="0.3">
      <c r="A488" s="237" t="str">
        <f>name!E$7</f>
        <v>Administrative and secretarial occupations</v>
      </c>
      <c r="B488" s="302">
        <v>30.827391777549149</v>
      </c>
      <c r="C488" s="302">
        <v>19.091957338617995</v>
      </c>
      <c r="D488" s="302">
        <v>4.4353724329868509</v>
      </c>
      <c r="E488" s="302">
        <f t="shared" si="217"/>
        <v>54.354721549153993</v>
      </c>
      <c r="F488" s="303"/>
      <c r="G488" s="302">
        <v>36.827357987993615</v>
      </c>
      <c r="H488" s="302">
        <v>21.637545713654958</v>
      </c>
      <c r="I488" s="302">
        <v>8.2088607294581095</v>
      </c>
      <c r="J488" s="302">
        <f t="shared" si="218"/>
        <v>66.67376443110669</v>
      </c>
      <c r="K488" s="303"/>
      <c r="L488" s="302">
        <v>28.932473937892663</v>
      </c>
      <c r="M488" s="302">
        <v>25.102403579573359</v>
      </c>
      <c r="N488" s="302">
        <v>6.2866677448129149</v>
      </c>
      <c r="O488" s="302">
        <f t="shared" si="219"/>
        <v>60.321545262278939</v>
      </c>
    </row>
    <row r="489" spans="1:15" s="236" customFormat="1" x14ac:dyDescent="0.3">
      <c r="A489" s="237" t="str">
        <f>name!E$8</f>
        <v>Skilled trades occupations</v>
      </c>
      <c r="B489" s="302">
        <v>102.17360419464151</v>
      </c>
      <c r="C489" s="302">
        <v>6.9630325968963422</v>
      </c>
      <c r="D489" s="302">
        <v>159.74728444089604</v>
      </c>
      <c r="E489" s="302">
        <f t="shared" si="217"/>
        <v>268.88392123243386</v>
      </c>
      <c r="F489" s="303"/>
      <c r="G489" s="302">
        <v>103.19337521440717</v>
      </c>
      <c r="H489" s="302">
        <v>6.7427414943625701</v>
      </c>
      <c r="I489" s="302">
        <v>157.18235913808957</v>
      </c>
      <c r="J489" s="302">
        <f>SUM(G489:I489)</f>
        <v>267.11847584685933</v>
      </c>
      <c r="K489" s="303"/>
      <c r="L489" s="302">
        <v>95.835348263173017</v>
      </c>
      <c r="M489" s="302">
        <v>11.963695540281698</v>
      </c>
      <c r="N489" s="302">
        <v>183.35056492582032</v>
      </c>
      <c r="O489" s="302">
        <f t="shared" si="219"/>
        <v>291.14960872927503</v>
      </c>
    </row>
    <row r="490" spans="1:15" s="236" customFormat="1" x14ac:dyDescent="0.3">
      <c r="A490" s="237" t="str">
        <f>name!E$9</f>
        <v>Caring, leisure and other service occupations</v>
      </c>
      <c r="B490" s="302">
        <v>1.2341445563617863</v>
      </c>
      <c r="C490" s="302">
        <v>0.34174041400556193</v>
      </c>
      <c r="D490" s="302">
        <v>0.15209242289210204</v>
      </c>
      <c r="E490" s="302">
        <f t="shared" si="217"/>
        <v>1.7279773932594504</v>
      </c>
      <c r="F490" s="303"/>
      <c r="G490" s="302">
        <v>1.6694671516522115</v>
      </c>
      <c r="H490" s="302">
        <v>0.53038668061713934</v>
      </c>
      <c r="I490" s="302">
        <v>0.33772199591132007</v>
      </c>
      <c r="J490" s="302">
        <f t="shared" ref="J490:J493" si="220">SUM(G490:I490)</f>
        <v>2.5375758281806711</v>
      </c>
      <c r="K490" s="303"/>
      <c r="L490" s="302">
        <v>1.9277275619634753</v>
      </c>
      <c r="M490" s="302">
        <v>0.46151715554512557</v>
      </c>
      <c r="N490" s="302">
        <v>0.64598654287311741</v>
      </c>
      <c r="O490" s="302">
        <f t="shared" si="219"/>
        <v>3.035231260381718</v>
      </c>
    </row>
    <row r="491" spans="1:15" s="236" customFormat="1" x14ac:dyDescent="0.3">
      <c r="A491" s="237" t="str">
        <f>name!E$10</f>
        <v>Sales and customer service occupations</v>
      </c>
      <c r="B491" s="302">
        <v>6.9282111891928402</v>
      </c>
      <c r="C491" s="302">
        <v>2.9754287925208156</v>
      </c>
      <c r="D491" s="302">
        <v>1.0290623550754585</v>
      </c>
      <c r="E491" s="302">
        <f t="shared" si="217"/>
        <v>10.932702336789115</v>
      </c>
      <c r="F491" s="303"/>
      <c r="G491" s="302">
        <v>8.3219007444291417</v>
      </c>
      <c r="H491" s="302">
        <v>3.8426835201731495</v>
      </c>
      <c r="I491" s="302">
        <v>1.4335820635688519</v>
      </c>
      <c r="J491" s="302">
        <f t="shared" si="220"/>
        <v>13.598166328171143</v>
      </c>
      <c r="K491" s="303"/>
      <c r="L491" s="302">
        <v>10.327834688392517</v>
      </c>
      <c r="M491" s="302">
        <v>4.8885161018043597</v>
      </c>
      <c r="N491" s="302">
        <v>1.7801857507035479</v>
      </c>
      <c r="O491" s="302">
        <f t="shared" si="219"/>
        <v>16.996536540900426</v>
      </c>
    </row>
    <row r="492" spans="1:15" s="236" customFormat="1" x14ac:dyDescent="0.3">
      <c r="A492" s="237" t="str">
        <f>name!E$11</f>
        <v>Process, plant and machine operatives</v>
      </c>
      <c r="B492" s="302">
        <v>32.355840618659613</v>
      </c>
      <c r="C492" s="302">
        <v>1.4185822530331276</v>
      </c>
      <c r="D492" s="302">
        <v>9.4629759181676114</v>
      </c>
      <c r="E492" s="302">
        <f t="shared" si="217"/>
        <v>43.23739878986035</v>
      </c>
      <c r="F492" s="303"/>
      <c r="G492" s="302">
        <v>31.791594678180452</v>
      </c>
      <c r="H492" s="302">
        <v>2.485135665375644</v>
      </c>
      <c r="I492" s="302">
        <v>12.930036190995272</v>
      </c>
      <c r="J492" s="302">
        <f t="shared" si="220"/>
        <v>47.20676653455137</v>
      </c>
      <c r="K492" s="303"/>
      <c r="L492" s="302">
        <v>37.685379114366789</v>
      </c>
      <c r="M492" s="302">
        <v>3.1750226769945553</v>
      </c>
      <c r="N492" s="302">
        <v>19.941675403815179</v>
      </c>
      <c r="O492" s="302">
        <f t="shared" si="219"/>
        <v>60.802077195176523</v>
      </c>
    </row>
    <row r="493" spans="1:15" s="236" customFormat="1" x14ac:dyDescent="0.3">
      <c r="A493" s="237" t="str">
        <f>name!E$12</f>
        <v>Elementary occupations</v>
      </c>
      <c r="B493" s="302">
        <v>15.988947851959137</v>
      </c>
      <c r="C493" s="302">
        <v>5.5833236599259104</v>
      </c>
      <c r="D493" s="302">
        <v>10.74796820138962</v>
      </c>
      <c r="E493" s="302">
        <f t="shared" si="217"/>
        <v>32.320239713274667</v>
      </c>
      <c r="F493" s="303"/>
      <c r="G493" s="302">
        <v>15.175114017227964</v>
      </c>
      <c r="H493" s="302">
        <v>6.0311635930910032</v>
      </c>
      <c r="I493" s="302">
        <v>12.679463640457813</v>
      </c>
      <c r="J493" s="302">
        <f t="shared" si="220"/>
        <v>33.885741250776782</v>
      </c>
      <c r="K493" s="303"/>
      <c r="L493" s="302">
        <v>12.725840866124617</v>
      </c>
      <c r="M493" s="302">
        <v>4.6718179430293354</v>
      </c>
      <c r="N493" s="302">
        <v>18.340663297825163</v>
      </c>
      <c r="O493" s="302">
        <f t="shared" si="219"/>
        <v>35.738322106979112</v>
      </c>
    </row>
    <row r="494" spans="1:15" s="236" customFormat="1" x14ac:dyDescent="0.3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3">
      <c r="A495" s="244" t="s">
        <v>32</v>
      </c>
      <c r="B495" s="311">
        <f>SUM(B485:B493)</f>
        <v>308.46800000028566</v>
      </c>
      <c r="C495" s="311">
        <f t="shared" ref="C495:E495" si="221">SUM(C485:C493)</f>
        <v>45.641000000459904</v>
      </c>
      <c r="D495" s="311">
        <f t="shared" si="221"/>
        <v>204.53199999451277</v>
      </c>
      <c r="E495" s="311">
        <f t="shared" si="221"/>
        <v>558.6409999952582</v>
      </c>
      <c r="F495" s="311"/>
      <c r="G495" s="311">
        <f t="shared" ref="G495:J495" si="222">SUM(G485:G493)</f>
        <v>377.66299999861678</v>
      </c>
      <c r="H495" s="311">
        <f t="shared" si="222"/>
        <v>59.12600000008328</v>
      </c>
      <c r="I495" s="311">
        <f t="shared" si="222"/>
        <v>227.12899999226457</v>
      </c>
      <c r="J495" s="311">
        <f t="shared" si="222"/>
        <v>663.91799999096474</v>
      </c>
      <c r="K495" s="311"/>
      <c r="L495" s="311">
        <f t="shared" ref="L495:O495" si="223">SUM(L485:L493)</f>
        <v>418.86600000082035</v>
      </c>
      <c r="M495" s="311">
        <f t="shared" si="223"/>
        <v>71.582999999552371</v>
      </c>
      <c r="N495" s="311">
        <f t="shared" si="223"/>
        <v>267.16899998271066</v>
      </c>
      <c r="O495" s="311">
        <f t="shared" si="223"/>
        <v>757.61799998308334</v>
      </c>
    </row>
    <row r="496" spans="1:15" s="236" customFormat="1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3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3">
      <c r="A499" s="241" t="str">
        <f>name!A32</f>
        <v>Civil engineering</v>
      </c>
      <c r="B499" s="375">
        <f>$B$6</f>
        <v>2015</v>
      </c>
      <c r="C499" s="375"/>
      <c r="D499" s="375"/>
      <c r="E499" s="375"/>
      <c r="F499" s="263"/>
      <c r="G499" s="375">
        <f>$G$6</f>
        <v>2020</v>
      </c>
      <c r="H499" s="375"/>
      <c r="I499" s="375"/>
      <c r="J499" s="375"/>
      <c r="K499" s="263"/>
      <c r="L499" s="375">
        <f>$L$6</f>
        <v>2035</v>
      </c>
      <c r="M499" s="375"/>
      <c r="N499" s="375"/>
      <c r="O499" s="375"/>
    </row>
    <row r="500" spans="1:15" s="236" customFormat="1" x14ac:dyDescent="0.3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3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3">
      <c r="A502" s="237" t="str">
        <f>name!E$4</f>
        <v>Managers, directors and senior officials</v>
      </c>
      <c r="B502" s="302">
        <v>16.577066328707975</v>
      </c>
      <c r="C502" s="302">
        <v>1.020347880573476</v>
      </c>
      <c r="D502" s="302">
        <v>4.80405991859742</v>
      </c>
      <c r="E502" s="302">
        <f>SUM(B502:D502)</f>
        <v>22.40147412787887</v>
      </c>
      <c r="F502" s="303"/>
      <c r="G502" s="302">
        <v>21.745712188267841</v>
      </c>
      <c r="H502" s="302">
        <v>2.1759147202144073</v>
      </c>
      <c r="I502" s="302">
        <v>7.9372133783779102</v>
      </c>
      <c r="J502" s="302">
        <f>SUM(G502:I502)</f>
        <v>31.858840286860158</v>
      </c>
      <c r="K502" s="303"/>
      <c r="L502" s="302">
        <v>24.944627921216785</v>
      </c>
      <c r="M502" s="302">
        <v>2.5531243190165838</v>
      </c>
      <c r="N502" s="302">
        <v>9.0851825691186541</v>
      </c>
      <c r="O502" s="302">
        <f>SUM(L502:N502)</f>
        <v>36.582934809352025</v>
      </c>
    </row>
    <row r="503" spans="1:15" s="236" customFormat="1" x14ac:dyDescent="0.3">
      <c r="A503" s="237" t="str">
        <f>name!E$5</f>
        <v>Professional occupations</v>
      </c>
      <c r="B503" s="302">
        <v>21.052237854066831</v>
      </c>
      <c r="C503" s="302">
        <v>0.68210550475801046</v>
      </c>
      <c r="D503" s="302">
        <v>2.6931482716184552</v>
      </c>
      <c r="E503" s="302">
        <f t="shared" ref="E503:E510" si="224">SUM(B503:D503)</f>
        <v>24.427491630443296</v>
      </c>
      <c r="F503" s="303"/>
      <c r="G503" s="302">
        <v>30.044638479954543</v>
      </c>
      <c r="H503" s="302">
        <v>1.2942044352495776</v>
      </c>
      <c r="I503" s="302">
        <v>3.7954035291376029</v>
      </c>
      <c r="J503" s="302">
        <f t="shared" ref="J503:J505" si="225">SUM(G503:I503)</f>
        <v>35.134246444341727</v>
      </c>
      <c r="K503" s="303"/>
      <c r="L503" s="302">
        <v>41.262431401905836</v>
      </c>
      <c r="M503" s="302">
        <v>1.5786284044195062</v>
      </c>
      <c r="N503" s="302">
        <v>3.1736691106545423</v>
      </c>
      <c r="O503" s="302">
        <f t="shared" ref="O503:O510" si="226">SUM(L503:N503)</f>
        <v>46.014728916979884</v>
      </c>
    </row>
    <row r="504" spans="1:15" s="236" customFormat="1" x14ac:dyDescent="0.3">
      <c r="A504" s="237" t="str">
        <f>name!E$6</f>
        <v>Associate professional occupations</v>
      </c>
      <c r="B504" s="302">
        <v>12.117479061730679</v>
      </c>
      <c r="C504" s="302">
        <v>0.87767746552441372</v>
      </c>
      <c r="D504" s="302">
        <v>1.1157211047605293</v>
      </c>
      <c r="E504" s="302">
        <f t="shared" si="224"/>
        <v>14.110877632015622</v>
      </c>
      <c r="F504" s="303"/>
      <c r="G504" s="302">
        <v>16.581605988950049</v>
      </c>
      <c r="H504" s="302">
        <v>1.4646440120116568</v>
      </c>
      <c r="I504" s="302">
        <v>1.4030876111005792</v>
      </c>
      <c r="J504" s="302">
        <f t="shared" si="225"/>
        <v>19.449337612062287</v>
      </c>
      <c r="K504" s="303"/>
      <c r="L504" s="302">
        <v>18.094124124983061</v>
      </c>
      <c r="M504" s="302">
        <v>1.438858123444084</v>
      </c>
      <c r="N504" s="302">
        <v>1.4258822225586778</v>
      </c>
      <c r="O504" s="302">
        <f t="shared" si="226"/>
        <v>20.958864470985823</v>
      </c>
    </row>
    <row r="505" spans="1:15" s="236" customFormat="1" x14ac:dyDescent="0.3">
      <c r="A505" s="237" t="str">
        <f>name!E$7</f>
        <v>Administrative and secretarial occupations</v>
      </c>
      <c r="B505" s="302">
        <v>7.7963116176624858</v>
      </c>
      <c r="C505" s="302">
        <v>5.0981296650644641</v>
      </c>
      <c r="D505" s="302">
        <v>1.0846831292013761</v>
      </c>
      <c r="E505" s="302">
        <f t="shared" si="224"/>
        <v>13.979124411928327</v>
      </c>
      <c r="F505" s="303"/>
      <c r="G505" s="302">
        <v>8.6948763543339229</v>
      </c>
      <c r="H505" s="302">
        <v>5.4798789231233638</v>
      </c>
      <c r="I505" s="302">
        <v>0.93085599173170586</v>
      </c>
      <c r="J505" s="302">
        <f t="shared" si="225"/>
        <v>15.105611269188993</v>
      </c>
      <c r="K505" s="303"/>
      <c r="L505" s="302">
        <v>7.5789349672524295</v>
      </c>
      <c r="M505" s="302">
        <v>5.9960446296232455</v>
      </c>
      <c r="N505" s="302">
        <v>1.1538056286402525</v>
      </c>
      <c r="O505" s="302">
        <f t="shared" si="226"/>
        <v>14.728785225515928</v>
      </c>
    </row>
    <row r="506" spans="1:15" s="236" customFormat="1" x14ac:dyDescent="0.3">
      <c r="A506" s="237" t="str">
        <f>name!E$8</f>
        <v>Skilled trades occupations</v>
      </c>
      <c r="B506" s="302">
        <v>50.044818749509105</v>
      </c>
      <c r="C506" s="302">
        <v>1.9671452508327028</v>
      </c>
      <c r="D506" s="302">
        <v>80.490159068131931</v>
      </c>
      <c r="E506" s="302">
        <f t="shared" si="224"/>
        <v>132.50212306847374</v>
      </c>
      <c r="F506" s="303"/>
      <c r="G506" s="302">
        <v>45.678223920095157</v>
      </c>
      <c r="H506" s="302">
        <v>2.0864021552880909</v>
      </c>
      <c r="I506" s="302">
        <v>71.672008747394671</v>
      </c>
      <c r="J506" s="302">
        <f>SUM(G506:I506)</f>
        <v>119.43663482277792</v>
      </c>
      <c r="K506" s="303"/>
      <c r="L506" s="302">
        <v>40.391891007623428</v>
      </c>
      <c r="M506" s="302">
        <v>3.4257280773661591</v>
      </c>
      <c r="N506" s="302">
        <v>81.099174639052663</v>
      </c>
      <c r="O506" s="302">
        <f t="shared" si="226"/>
        <v>124.91679372404225</v>
      </c>
    </row>
    <row r="507" spans="1:15" s="236" customFormat="1" x14ac:dyDescent="0.3">
      <c r="A507" s="237" t="str">
        <f>name!E$9</f>
        <v>Caring, leisure and other service occupations</v>
      </c>
      <c r="B507" s="302">
        <v>0.49978766091249904</v>
      </c>
      <c r="C507" s="302">
        <v>9.0013647537450378E-2</v>
      </c>
      <c r="D507" s="302">
        <v>4.7521702177494303E-2</v>
      </c>
      <c r="E507" s="302">
        <f t="shared" si="224"/>
        <v>0.63732301062744368</v>
      </c>
      <c r="F507" s="303"/>
      <c r="G507" s="302">
        <v>0.61061944208386154</v>
      </c>
      <c r="H507" s="302">
        <v>0.14280100738440119</v>
      </c>
      <c r="I507" s="302">
        <v>5.4882838120967878E-2</v>
      </c>
      <c r="J507" s="302">
        <f t="shared" ref="J507:J510" si="227">SUM(G507:I507)</f>
        <v>0.80830328758923053</v>
      </c>
      <c r="K507" s="303"/>
      <c r="L507" s="302">
        <v>0.7022177659453871</v>
      </c>
      <c r="M507" s="302">
        <v>0.12064411320489882</v>
      </c>
      <c r="N507" s="302">
        <v>0.12600733970499614</v>
      </c>
      <c r="O507" s="302">
        <f t="shared" si="226"/>
        <v>0.94886921885528208</v>
      </c>
    </row>
    <row r="508" spans="1:15" s="236" customFormat="1" x14ac:dyDescent="0.3">
      <c r="A508" s="237" t="str">
        <f>name!E$10</f>
        <v>Sales and customer service occupations</v>
      </c>
      <c r="B508" s="302">
        <v>2.3846476345789287</v>
      </c>
      <c r="C508" s="302">
        <v>0.86171804526109486</v>
      </c>
      <c r="D508" s="302">
        <v>0.44995712963100903</v>
      </c>
      <c r="E508" s="302">
        <f t="shared" si="224"/>
        <v>3.6963228094710323</v>
      </c>
      <c r="F508" s="303"/>
      <c r="G508" s="302">
        <v>2.6393861585766936</v>
      </c>
      <c r="H508" s="302">
        <v>1.183538144373159</v>
      </c>
      <c r="I508" s="302">
        <v>0.50562239116083896</v>
      </c>
      <c r="J508" s="302">
        <f t="shared" si="227"/>
        <v>4.3285466941106909</v>
      </c>
      <c r="K508" s="303"/>
      <c r="L508" s="302">
        <v>3.2715416752313633</v>
      </c>
      <c r="M508" s="302">
        <v>1.4342730234050083</v>
      </c>
      <c r="N508" s="302">
        <v>0.60033117506804767</v>
      </c>
      <c r="O508" s="302">
        <f t="shared" si="226"/>
        <v>5.3061458737044198</v>
      </c>
    </row>
    <row r="509" spans="1:15" s="236" customFormat="1" x14ac:dyDescent="0.3">
      <c r="A509" s="237" t="str">
        <f>name!E$11</f>
        <v>Process, plant and machine operatives</v>
      </c>
      <c r="B509" s="302">
        <v>15.752502739335846</v>
      </c>
      <c r="C509" s="302">
        <v>0.40863960035053043</v>
      </c>
      <c r="D509" s="302">
        <v>4.7704786582742358</v>
      </c>
      <c r="E509" s="302">
        <f t="shared" si="224"/>
        <v>20.931620997960611</v>
      </c>
      <c r="F509" s="303"/>
      <c r="G509" s="302">
        <v>14.329340912961884</v>
      </c>
      <c r="H509" s="302">
        <v>0.76635464953120158</v>
      </c>
      <c r="I509" s="302">
        <v>6.0771207295462668</v>
      </c>
      <c r="J509" s="302">
        <f t="shared" si="227"/>
        <v>21.172816292039354</v>
      </c>
      <c r="K509" s="303"/>
      <c r="L509" s="302">
        <v>16.759895146685878</v>
      </c>
      <c r="M509" s="302">
        <v>0.92381742036159942</v>
      </c>
      <c r="N509" s="302">
        <v>9.2415553684107241</v>
      </c>
      <c r="O509" s="302">
        <f t="shared" si="226"/>
        <v>26.925267935458201</v>
      </c>
    </row>
    <row r="510" spans="1:15" s="236" customFormat="1" x14ac:dyDescent="0.3">
      <c r="A510" s="237" t="str">
        <f>name!E$12</f>
        <v>Elementary occupations</v>
      </c>
      <c r="B510" s="302">
        <v>7.6081483537971328</v>
      </c>
      <c r="C510" s="302">
        <v>1.4942229402201839</v>
      </c>
      <c r="D510" s="302">
        <v>5.202271014702295</v>
      </c>
      <c r="E510" s="302">
        <f t="shared" si="224"/>
        <v>14.304642308719611</v>
      </c>
      <c r="F510" s="303"/>
      <c r="G510" s="302">
        <v>6.5875965546512898</v>
      </c>
      <c r="H510" s="302">
        <v>1.8362619528958244</v>
      </c>
      <c r="I510" s="302">
        <v>5.5718047802328945</v>
      </c>
      <c r="J510" s="302">
        <f t="shared" si="227"/>
        <v>13.995663287780008</v>
      </c>
      <c r="K510" s="303"/>
      <c r="L510" s="302">
        <v>5.4323359896753285</v>
      </c>
      <c r="M510" s="302">
        <v>1.3428818891113752</v>
      </c>
      <c r="N510" s="302">
        <v>8.3093919392410562</v>
      </c>
      <c r="O510" s="302">
        <f t="shared" si="226"/>
        <v>15.08460981802776</v>
      </c>
    </row>
    <row r="511" spans="1:15" s="236" customFormat="1" x14ac:dyDescent="0.3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3">
      <c r="A512" s="244" t="s">
        <v>32</v>
      </c>
      <c r="B512" s="311">
        <f>SUM(B502:B510)</f>
        <v>133.83300000030147</v>
      </c>
      <c r="C512" s="311">
        <f t="shared" ref="C512:E512" si="228">SUM(C502:C510)</f>
        <v>12.500000000122325</v>
      </c>
      <c r="D512" s="311">
        <f t="shared" si="228"/>
        <v>100.65799999709472</v>
      </c>
      <c r="E512" s="311">
        <f t="shared" si="228"/>
        <v>246.9909999975186</v>
      </c>
      <c r="F512" s="311"/>
      <c r="G512" s="311">
        <f t="shared" ref="G512:J512" si="229">SUM(G502:G510)</f>
        <v>146.91199999987526</v>
      </c>
      <c r="H512" s="311">
        <f t="shared" si="229"/>
        <v>16.430000000071683</v>
      </c>
      <c r="I512" s="311">
        <f t="shared" si="229"/>
        <v>97.947999996803446</v>
      </c>
      <c r="J512" s="311">
        <f t="shared" si="229"/>
        <v>261.2899999967504</v>
      </c>
      <c r="K512" s="311"/>
      <c r="L512" s="311">
        <f t="shared" ref="L512:O512" si="230">SUM(L502:L510)</f>
        <v>158.43800000051948</v>
      </c>
      <c r="M512" s="311">
        <f t="shared" si="230"/>
        <v>18.813999999952458</v>
      </c>
      <c r="N512" s="311">
        <f t="shared" si="230"/>
        <v>114.21499999244962</v>
      </c>
      <c r="O512" s="311">
        <f t="shared" si="230"/>
        <v>291.46699999292161</v>
      </c>
    </row>
    <row r="513" spans="1:15" s="236" customFormat="1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3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3">
      <c r="A516" s="241" t="str">
        <f>name!A33</f>
        <v>Specialised construction</v>
      </c>
      <c r="B516" s="375">
        <f>$B$6</f>
        <v>2015</v>
      </c>
      <c r="C516" s="375"/>
      <c r="D516" s="375"/>
      <c r="E516" s="375"/>
      <c r="F516" s="263"/>
      <c r="G516" s="375">
        <f>$G$6</f>
        <v>2020</v>
      </c>
      <c r="H516" s="375"/>
      <c r="I516" s="375"/>
      <c r="J516" s="375"/>
      <c r="K516" s="263"/>
      <c r="L516" s="375">
        <f>$L$6</f>
        <v>2035</v>
      </c>
      <c r="M516" s="375"/>
      <c r="N516" s="375"/>
      <c r="O516" s="375"/>
    </row>
    <row r="517" spans="1:15" s="236" customFormat="1" x14ac:dyDescent="0.3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3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3">
      <c r="A519" s="237" t="str">
        <f>name!E$4</f>
        <v>Managers, directors and senior officials</v>
      </c>
      <c r="B519" s="302">
        <v>66.487619642868609</v>
      </c>
      <c r="C519" s="302">
        <v>6.2023843317210012</v>
      </c>
      <c r="D519" s="302">
        <v>19.257616802120275</v>
      </c>
      <c r="E519" s="302">
        <f>SUM(B519:D519)</f>
        <v>91.947620776709897</v>
      </c>
      <c r="F519" s="303"/>
      <c r="G519" s="302">
        <v>83.777535157195445</v>
      </c>
      <c r="H519" s="302">
        <v>13.779148581130665</v>
      </c>
      <c r="I519" s="302">
        <v>32.872125305484005</v>
      </c>
      <c r="J519" s="302">
        <f>SUM(G519:I519)</f>
        <v>130.42880904381013</v>
      </c>
      <c r="K519" s="303"/>
      <c r="L519" s="302">
        <v>96.915582237421134</v>
      </c>
      <c r="M519" s="302">
        <v>16.701271299690969</v>
      </c>
      <c r="N519" s="302">
        <v>36.931911678639771</v>
      </c>
      <c r="O519" s="302">
        <f>SUM(L519:N519)</f>
        <v>150.54876521575187</v>
      </c>
    </row>
    <row r="520" spans="1:15" s="236" customFormat="1" x14ac:dyDescent="0.3">
      <c r="A520" s="237" t="str">
        <f>name!E$5</f>
        <v>Professional occupations</v>
      </c>
      <c r="B520" s="302">
        <v>84.926778321819114</v>
      </c>
      <c r="C520" s="302">
        <v>4.1214337303305655</v>
      </c>
      <c r="D520" s="302">
        <v>10.770165558721335</v>
      </c>
      <c r="E520" s="302">
        <f t="shared" ref="E520:E527" si="231">SUM(B520:D520)</f>
        <v>99.818377610871011</v>
      </c>
      <c r="F520" s="303"/>
      <c r="G520" s="302">
        <v>119.2070937845082</v>
      </c>
      <c r="H520" s="302">
        <v>8.2930379844458653</v>
      </c>
      <c r="I520" s="302">
        <v>16.06891231173298</v>
      </c>
      <c r="J520" s="302">
        <f t="shared" ref="J520:J522" si="232">SUM(G520:I520)</f>
        <v>143.56904408068704</v>
      </c>
      <c r="K520" s="303"/>
      <c r="L520" s="302">
        <v>164.052481706793</v>
      </c>
      <c r="M520" s="302">
        <v>10.405687480156743</v>
      </c>
      <c r="N520" s="302">
        <v>13.379327646526992</v>
      </c>
      <c r="O520" s="302">
        <f t="shared" ref="O520:O527" si="233">SUM(L520:N520)</f>
        <v>187.83749683347676</v>
      </c>
    </row>
    <row r="521" spans="1:15" s="236" customFormat="1" x14ac:dyDescent="0.3">
      <c r="A521" s="237" t="str">
        <f>name!E$6</f>
        <v>Associate professional occupations</v>
      </c>
      <c r="B521" s="302">
        <v>48.503834884900279</v>
      </c>
      <c r="C521" s="302">
        <v>5.4115604235593331</v>
      </c>
      <c r="D521" s="302">
        <v>4.49798974248941</v>
      </c>
      <c r="E521" s="302">
        <f t="shared" si="231"/>
        <v>58.413385050949017</v>
      </c>
      <c r="F521" s="303"/>
      <c r="G521" s="302">
        <v>64.788866240245866</v>
      </c>
      <c r="H521" s="302">
        <v>9.2236253029811017</v>
      </c>
      <c r="I521" s="302">
        <v>5.8598505010638</v>
      </c>
      <c r="J521" s="302">
        <f t="shared" si="232"/>
        <v>79.872342044290775</v>
      </c>
      <c r="K521" s="303"/>
      <c r="L521" s="302">
        <v>71.314651377202509</v>
      </c>
      <c r="M521" s="302">
        <v>9.7135444873873187</v>
      </c>
      <c r="N521" s="302">
        <v>5.845405494032704</v>
      </c>
      <c r="O521" s="302">
        <f t="shared" si="233"/>
        <v>86.873601358622537</v>
      </c>
    </row>
    <row r="522" spans="1:15" s="236" customFormat="1" x14ac:dyDescent="0.3">
      <c r="A522" s="237" t="str">
        <f>name!E$7</f>
        <v>Administrative and secretarial occupations</v>
      </c>
      <c r="B522" s="302">
        <v>35.882314958303255</v>
      </c>
      <c r="C522" s="302">
        <v>33.817701279784778</v>
      </c>
      <c r="D522" s="302">
        <v>5.8543130135519714</v>
      </c>
      <c r="E522" s="302">
        <f t="shared" si="231"/>
        <v>75.554329251640013</v>
      </c>
      <c r="F522" s="303"/>
      <c r="G522" s="302">
        <v>39.60601947152405</v>
      </c>
      <c r="H522" s="302">
        <v>40.740773305768542</v>
      </c>
      <c r="I522" s="302">
        <v>5.6651038309274222</v>
      </c>
      <c r="J522" s="302">
        <f t="shared" si="232"/>
        <v>86.011896608220013</v>
      </c>
      <c r="K522" s="303"/>
      <c r="L522" s="302">
        <v>34.035624724959938</v>
      </c>
      <c r="M522" s="302">
        <v>46.117262588212348</v>
      </c>
      <c r="N522" s="302">
        <v>5.2981324872468853</v>
      </c>
      <c r="O522" s="302">
        <f t="shared" si="233"/>
        <v>85.451019800419175</v>
      </c>
    </row>
    <row r="523" spans="1:15" s="236" customFormat="1" x14ac:dyDescent="0.3">
      <c r="A523" s="237" t="str">
        <f>name!E$8</f>
        <v>Skilled trades occupations</v>
      </c>
      <c r="B523" s="302">
        <v>195.33320306212326</v>
      </c>
      <c r="C523" s="302">
        <v>9.6396875272151252</v>
      </c>
      <c r="D523" s="302">
        <v>300.56198055747581</v>
      </c>
      <c r="E523" s="302">
        <f t="shared" si="231"/>
        <v>505.53487114681423</v>
      </c>
      <c r="F523" s="303"/>
      <c r="G523" s="302">
        <v>172.06032565946799</v>
      </c>
      <c r="H523" s="302">
        <v>10.394000014004797</v>
      </c>
      <c r="I523" s="302">
        <v>283.95026334759541</v>
      </c>
      <c r="J523" s="302">
        <f>SUM(G523:I523)</f>
        <v>466.4045890210682</v>
      </c>
      <c r="K523" s="303"/>
      <c r="L523" s="302">
        <v>151.44016329472575</v>
      </c>
      <c r="M523" s="302">
        <v>18.117212803133665</v>
      </c>
      <c r="N523" s="302">
        <v>321.52197603210305</v>
      </c>
      <c r="O523" s="302">
        <f t="shared" si="233"/>
        <v>491.07935212996244</v>
      </c>
    </row>
    <row r="524" spans="1:15" s="236" customFormat="1" x14ac:dyDescent="0.3">
      <c r="A524" s="237" t="str">
        <f>name!E$9</f>
        <v>Caring, leisure and other service occupations</v>
      </c>
      <c r="B524" s="302">
        <v>1.9280896282130948</v>
      </c>
      <c r="C524" s="302">
        <v>0.52010716883705033</v>
      </c>
      <c r="D524" s="302">
        <v>0.22747944760291369</v>
      </c>
      <c r="E524" s="302">
        <f t="shared" si="231"/>
        <v>2.6756762446530589</v>
      </c>
      <c r="F524" s="303"/>
      <c r="G524" s="302">
        <v>2.3736850184900424</v>
      </c>
      <c r="H524" s="302">
        <v>0.86403796533194122</v>
      </c>
      <c r="I524" s="302">
        <v>0.29125826795448606</v>
      </c>
      <c r="J524" s="302">
        <f t="shared" ref="J524:J527" si="234">SUM(G524:I524)</f>
        <v>3.5289812517764698</v>
      </c>
      <c r="K524" s="303"/>
      <c r="L524" s="302">
        <v>2.7346272857267806</v>
      </c>
      <c r="M524" s="302">
        <v>0.75348611464948956</v>
      </c>
      <c r="N524" s="302">
        <v>0.57012693137503101</v>
      </c>
      <c r="O524" s="302">
        <f t="shared" si="233"/>
        <v>4.0582403317513016</v>
      </c>
    </row>
    <row r="525" spans="1:15" s="236" customFormat="1" x14ac:dyDescent="0.3">
      <c r="A525" s="237" t="str">
        <f>name!E$10</f>
        <v>Sales and customer service occupations</v>
      </c>
      <c r="B525" s="302">
        <v>10.065631368064281</v>
      </c>
      <c r="C525" s="302">
        <v>5.3680555228043572</v>
      </c>
      <c r="D525" s="302">
        <v>1.8524219206723254</v>
      </c>
      <c r="E525" s="302">
        <f t="shared" si="231"/>
        <v>17.286108811540963</v>
      </c>
      <c r="F525" s="303"/>
      <c r="G525" s="302">
        <v>10.958994631773185</v>
      </c>
      <c r="H525" s="302">
        <v>7.344457201659166</v>
      </c>
      <c r="I525" s="302">
        <v>2.1212797454033643</v>
      </c>
      <c r="J525" s="302">
        <f t="shared" si="234"/>
        <v>20.424731578835715</v>
      </c>
      <c r="K525" s="303"/>
      <c r="L525" s="302">
        <v>13.658856106983832</v>
      </c>
      <c r="M525" s="302">
        <v>9.0772946034763375</v>
      </c>
      <c r="N525" s="302">
        <v>2.4665150162889442</v>
      </c>
      <c r="O525" s="302">
        <f t="shared" si="233"/>
        <v>25.202665726749114</v>
      </c>
    </row>
    <row r="526" spans="1:15" s="236" customFormat="1" x14ac:dyDescent="0.3">
      <c r="A526" s="237" t="str">
        <f>name!E$11</f>
        <v>Process, plant and machine operatives</v>
      </c>
      <c r="B526" s="302">
        <v>63.372103091879154</v>
      </c>
      <c r="C526" s="302">
        <v>2.0486926664629017</v>
      </c>
      <c r="D526" s="302">
        <v>18.265842091052459</v>
      </c>
      <c r="E526" s="302">
        <f t="shared" si="231"/>
        <v>83.686637849394515</v>
      </c>
      <c r="F526" s="303"/>
      <c r="G526" s="302">
        <v>55.876538187030633</v>
      </c>
      <c r="H526" s="302">
        <v>3.9374876277222786</v>
      </c>
      <c r="I526" s="302">
        <v>24.378035603562875</v>
      </c>
      <c r="J526" s="302">
        <f t="shared" si="234"/>
        <v>84.192061418315788</v>
      </c>
      <c r="K526" s="303"/>
      <c r="L526" s="302">
        <v>65.718095149935976</v>
      </c>
      <c r="M526" s="302">
        <v>5.0366578891561167</v>
      </c>
      <c r="N526" s="302">
        <v>37.102280925055979</v>
      </c>
      <c r="O526" s="302">
        <f t="shared" si="233"/>
        <v>107.85703396414807</v>
      </c>
    </row>
    <row r="527" spans="1:15" s="236" customFormat="1" x14ac:dyDescent="0.3">
      <c r="A527" s="237" t="str">
        <f>name!E$12</f>
        <v>Elementary occupations</v>
      </c>
      <c r="B527" s="302">
        <v>30.617425042375181</v>
      </c>
      <c r="C527" s="302">
        <v>8.7083773499886767</v>
      </c>
      <c r="D527" s="302">
        <v>20.479190854633515</v>
      </c>
      <c r="E527" s="302">
        <f t="shared" si="231"/>
        <v>59.80499324699737</v>
      </c>
      <c r="F527" s="303"/>
      <c r="G527" s="302">
        <v>26.561941848812729</v>
      </c>
      <c r="H527" s="302">
        <v>10.750432017287915</v>
      </c>
      <c r="I527" s="302">
        <v>22.842171072859006</v>
      </c>
      <c r="J527" s="302">
        <f t="shared" si="234"/>
        <v>60.154544938959646</v>
      </c>
      <c r="K527" s="303"/>
      <c r="L527" s="302">
        <v>21.968918117971405</v>
      </c>
      <c r="M527" s="302">
        <v>8.2845827334884135</v>
      </c>
      <c r="N527" s="302">
        <v>33.670323758474304</v>
      </c>
      <c r="O527" s="302">
        <f t="shared" si="233"/>
        <v>63.923824609934123</v>
      </c>
    </row>
    <row r="528" spans="1:15" s="236" customFormat="1" x14ac:dyDescent="0.3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3">
      <c r="A529" s="244" t="s">
        <v>32</v>
      </c>
      <c r="B529" s="311">
        <f>SUM(B519:B527)</f>
        <v>537.11700000054623</v>
      </c>
      <c r="C529" s="311">
        <f t="shared" ref="C529:E529" si="235">SUM(C519:C527)</f>
        <v>75.838000000703786</v>
      </c>
      <c r="D529" s="311">
        <f t="shared" si="235"/>
        <v>381.76699998831998</v>
      </c>
      <c r="E529" s="311">
        <f t="shared" si="235"/>
        <v>994.72199998957001</v>
      </c>
      <c r="F529" s="311"/>
      <c r="G529" s="311">
        <f t="shared" ref="G529:J529" si="236">SUM(G519:G527)</f>
        <v>575.21099999904811</v>
      </c>
      <c r="H529" s="311">
        <f t="shared" si="236"/>
        <v>105.32700000033229</v>
      </c>
      <c r="I529" s="311">
        <f t="shared" si="236"/>
        <v>394.04899998658334</v>
      </c>
      <c r="J529" s="311">
        <f t="shared" si="236"/>
        <v>1074.5869999859638</v>
      </c>
      <c r="K529" s="311"/>
      <c r="L529" s="311">
        <f t="shared" ref="L529:O529" si="237">SUM(L519:L527)</f>
        <v>621.83900000172025</v>
      </c>
      <c r="M529" s="311">
        <f t="shared" si="237"/>
        <v>124.20699999935141</v>
      </c>
      <c r="N529" s="311">
        <f t="shared" si="237"/>
        <v>456.78599996974373</v>
      </c>
      <c r="O529" s="311">
        <f t="shared" si="237"/>
        <v>1202.8319999708156</v>
      </c>
    </row>
    <row r="530" spans="1:15" s="236" customFormat="1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3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3">
      <c r="A533" s="241" t="str">
        <f>name!A34</f>
        <v>Motor vehicle trade</v>
      </c>
      <c r="B533" s="375">
        <f>$B$6</f>
        <v>2015</v>
      </c>
      <c r="C533" s="375"/>
      <c r="D533" s="375"/>
      <c r="E533" s="375"/>
      <c r="F533" s="263"/>
      <c r="G533" s="375">
        <f>$G$6</f>
        <v>2020</v>
      </c>
      <c r="H533" s="375"/>
      <c r="I533" s="375"/>
      <c r="J533" s="375"/>
      <c r="K533" s="263"/>
      <c r="L533" s="375">
        <f>$L$6</f>
        <v>2035</v>
      </c>
      <c r="M533" s="375"/>
      <c r="N533" s="375"/>
      <c r="O533" s="375"/>
    </row>
    <row r="534" spans="1:15" s="236" customFormat="1" x14ac:dyDescent="0.3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3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3">
      <c r="A536" s="237" t="str">
        <f>name!E$4</f>
        <v>Managers, directors and senior officials</v>
      </c>
      <c r="B536" s="302">
        <v>39.074419120675898</v>
      </c>
      <c r="C536" s="302">
        <v>2.1065749517685912</v>
      </c>
      <c r="D536" s="302">
        <v>11.650505565137777</v>
      </c>
      <c r="E536" s="302">
        <f>SUM(B536:D536)</f>
        <v>52.831499637582269</v>
      </c>
      <c r="F536" s="303"/>
      <c r="G536" s="302">
        <v>49.881583149930989</v>
      </c>
      <c r="H536" s="302">
        <v>4.1214042108152045</v>
      </c>
      <c r="I536" s="302">
        <v>11.16480663705145</v>
      </c>
      <c r="J536" s="302">
        <f>SUM(G536:I536)</f>
        <v>65.167793997797645</v>
      </c>
      <c r="K536" s="303"/>
      <c r="L536" s="302">
        <v>61.235879603925262</v>
      </c>
      <c r="M536" s="302">
        <v>4.6137342037276481</v>
      </c>
      <c r="N536" s="302">
        <v>14.385902537507674</v>
      </c>
      <c r="O536" s="302">
        <f>SUM(L536:N536)</f>
        <v>80.23551634516059</v>
      </c>
    </row>
    <row r="537" spans="1:15" s="236" customFormat="1" x14ac:dyDescent="0.3">
      <c r="A537" s="237" t="str">
        <f>name!E$5</f>
        <v>Professional occupations</v>
      </c>
      <c r="B537" s="302">
        <v>19.824030339736343</v>
      </c>
      <c r="C537" s="302">
        <v>0.95326915612727292</v>
      </c>
      <c r="D537" s="302">
        <v>1.7399168472105149</v>
      </c>
      <c r="E537" s="302">
        <f t="shared" ref="E537:E544" si="238">SUM(B537:D537)</f>
        <v>22.517216343074132</v>
      </c>
      <c r="F537" s="303"/>
      <c r="G537" s="302">
        <v>29.150946673976549</v>
      </c>
      <c r="H537" s="302">
        <v>1.8644908768500577</v>
      </c>
      <c r="I537" s="302">
        <v>1.7568685960874946</v>
      </c>
      <c r="J537" s="302">
        <f t="shared" ref="J537:J539" si="239">SUM(G537:I537)</f>
        <v>32.772306146914104</v>
      </c>
      <c r="K537" s="303"/>
      <c r="L537" s="302">
        <v>40.023439383794901</v>
      </c>
      <c r="M537" s="302">
        <v>2.1284681468923656</v>
      </c>
      <c r="N537" s="302">
        <v>1.3873830521132136</v>
      </c>
      <c r="O537" s="302">
        <f t="shared" ref="O537:O544" si="240">SUM(L537:N537)</f>
        <v>43.539290582800483</v>
      </c>
    </row>
    <row r="538" spans="1:15" s="236" customFormat="1" x14ac:dyDescent="0.3">
      <c r="A538" s="237" t="str">
        <f>name!E$6</f>
        <v>Associate professional occupations</v>
      </c>
      <c r="B538" s="302">
        <v>27.638799867596731</v>
      </c>
      <c r="C538" s="302">
        <v>1.9850704892015238</v>
      </c>
      <c r="D538" s="302">
        <v>1.4468783089338422</v>
      </c>
      <c r="E538" s="302">
        <f t="shared" si="238"/>
        <v>31.070748665732097</v>
      </c>
      <c r="F538" s="303"/>
      <c r="G538" s="302">
        <v>35.292348750171492</v>
      </c>
      <c r="H538" s="302">
        <v>3.1610006412691214</v>
      </c>
      <c r="I538" s="302">
        <v>1.5093415967744057</v>
      </c>
      <c r="J538" s="302">
        <f t="shared" si="239"/>
        <v>39.962690988215016</v>
      </c>
      <c r="K538" s="303"/>
      <c r="L538" s="302">
        <v>39.832568632867613</v>
      </c>
      <c r="M538" s="302">
        <v>2.9141331782755504</v>
      </c>
      <c r="N538" s="302">
        <v>1.3290801977607658</v>
      </c>
      <c r="O538" s="302">
        <f t="shared" si="240"/>
        <v>44.075782008903928</v>
      </c>
    </row>
    <row r="539" spans="1:15" s="236" customFormat="1" x14ac:dyDescent="0.3">
      <c r="A539" s="237" t="str">
        <f>name!E$7</f>
        <v>Administrative and secretarial occupations</v>
      </c>
      <c r="B539" s="302">
        <v>41.632242965926871</v>
      </c>
      <c r="C539" s="302">
        <v>10.350982818331806</v>
      </c>
      <c r="D539" s="302">
        <v>1.6142866022563436</v>
      </c>
      <c r="E539" s="302">
        <f t="shared" si="238"/>
        <v>53.597512386515021</v>
      </c>
      <c r="F539" s="303"/>
      <c r="G539" s="302">
        <v>45.3821491171472</v>
      </c>
      <c r="H539" s="302">
        <v>13.459664792967233</v>
      </c>
      <c r="I539" s="302">
        <v>2.2360456455829349</v>
      </c>
      <c r="J539" s="302">
        <f t="shared" si="239"/>
        <v>61.077859555697366</v>
      </c>
      <c r="K539" s="303"/>
      <c r="L539" s="302">
        <v>49.361283300679439</v>
      </c>
      <c r="M539" s="302">
        <v>10.679479407220239</v>
      </c>
      <c r="N539" s="302">
        <v>1.9079821697329262</v>
      </c>
      <c r="O539" s="302">
        <f t="shared" si="240"/>
        <v>61.948744877632599</v>
      </c>
    </row>
    <row r="540" spans="1:15" s="236" customFormat="1" x14ac:dyDescent="0.3">
      <c r="A540" s="237" t="str">
        <f>name!E$8</f>
        <v>Skilled trades occupations</v>
      </c>
      <c r="B540" s="302">
        <v>144.14350355782912</v>
      </c>
      <c r="C540" s="302">
        <v>10.682524147793046</v>
      </c>
      <c r="D540" s="302">
        <v>26.016327594425601</v>
      </c>
      <c r="E540" s="302">
        <f t="shared" si="238"/>
        <v>180.84235530004776</v>
      </c>
      <c r="F540" s="303"/>
      <c r="G540" s="302">
        <v>132.94397534049637</v>
      </c>
      <c r="H540" s="302">
        <v>10.152896126635055</v>
      </c>
      <c r="I540" s="302">
        <v>21.46898289580357</v>
      </c>
      <c r="J540" s="302">
        <f>SUM(G540:I540)</f>
        <v>164.565854362935</v>
      </c>
      <c r="K540" s="303"/>
      <c r="L540" s="302">
        <v>124.93266072557302</v>
      </c>
      <c r="M540" s="302">
        <v>11.990060848294965</v>
      </c>
      <c r="N540" s="302">
        <v>21.849973591873233</v>
      </c>
      <c r="O540" s="302">
        <f t="shared" si="240"/>
        <v>158.77269516574123</v>
      </c>
    </row>
    <row r="541" spans="1:15" s="236" customFormat="1" x14ac:dyDescent="0.3">
      <c r="A541" s="237" t="str">
        <f>name!E$9</f>
        <v>Caring, leisure and other service occupations</v>
      </c>
      <c r="B541" s="302">
        <v>12.520609615605117</v>
      </c>
      <c r="C541" s="302">
        <v>0.45258014343988218</v>
      </c>
      <c r="D541" s="302">
        <v>0.59912370064928855</v>
      </c>
      <c r="E541" s="302">
        <f t="shared" si="238"/>
        <v>13.572313459694287</v>
      </c>
      <c r="F541" s="303"/>
      <c r="G541" s="302">
        <v>13.506491392582506</v>
      </c>
      <c r="H541" s="302">
        <v>0.54490727422384599</v>
      </c>
      <c r="I541" s="302">
        <v>1.0011150029256688</v>
      </c>
      <c r="J541" s="302">
        <f t="shared" ref="J541:J544" si="241">SUM(G541:I541)</f>
        <v>15.05251366973202</v>
      </c>
      <c r="K541" s="303"/>
      <c r="L541" s="302">
        <v>20.204642956069698</v>
      </c>
      <c r="M541" s="302">
        <v>0.42339278466507863</v>
      </c>
      <c r="N541" s="302">
        <v>1.1725751957488824</v>
      </c>
      <c r="O541" s="302">
        <f t="shared" si="240"/>
        <v>21.800610936483661</v>
      </c>
    </row>
    <row r="542" spans="1:15" s="236" customFormat="1" x14ac:dyDescent="0.3">
      <c r="A542" s="237" t="str">
        <f>name!E$10</f>
        <v>Sales and customer service occupations</v>
      </c>
      <c r="B542" s="302">
        <v>50.537899019893985</v>
      </c>
      <c r="C542" s="302">
        <v>22.232420351278389</v>
      </c>
      <c r="D542" s="302">
        <v>8.50279934607744</v>
      </c>
      <c r="E542" s="302">
        <f t="shared" si="238"/>
        <v>81.273118717249815</v>
      </c>
      <c r="F542" s="303"/>
      <c r="G542" s="302">
        <v>51.20322520901113</v>
      </c>
      <c r="H542" s="302">
        <v>26.615429556750435</v>
      </c>
      <c r="I542" s="302">
        <v>6.1955645823967576</v>
      </c>
      <c r="J542" s="302">
        <f t="shared" si="241"/>
        <v>84.014219348158321</v>
      </c>
      <c r="K542" s="303"/>
      <c r="L542" s="302">
        <v>52.706922086094778</v>
      </c>
      <c r="M542" s="302">
        <v>26.218559348231153</v>
      </c>
      <c r="N542" s="302">
        <v>5.7120653740682172</v>
      </c>
      <c r="O542" s="302">
        <f t="shared" si="240"/>
        <v>84.637546808394148</v>
      </c>
    </row>
    <row r="543" spans="1:15" s="236" customFormat="1" x14ac:dyDescent="0.3">
      <c r="A543" s="237" t="str">
        <f>name!E$11</f>
        <v>Process, plant and machine operatives</v>
      </c>
      <c r="B543" s="302">
        <v>28.466607489767949</v>
      </c>
      <c r="C543" s="302">
        <v>4.1708489606300079</v>
      </c>
      <c r="D543" s="302">
        <v>1.2440872553499349</v>
      </c>
      <c r="E543" s="302">
        <f t="shared" si="238"/>
        <v>33.881543705747887</v>
      </c>
      <c r="F543" s="303"/>
      <c r="G543" s="302">
        <v>25.848764597282159</v>
      </c>
      <c r="H543" s="302">
        <v>4.9833870217507155</v>
      </c>
      <c r="I543" s="302">
        <v>1.1114656897243167</v>
      </c>
      <c r="J543" s="302">
        <f t="shared" si="241"/>
        <v>31.94361730875719</v>
      </c>
      <c r="K543" s="303"/>
      <c r="L543" s="302">
        <v>31.394866797586641</v>
      </c>
      <c r="M543" s="302">
        <v>5.2790958125412804</v>
      </c>
      <c r="N543" s="302">
        <v>1.6819270709851739</v>
      </c>
      <c r="O543" s="302">
        <f t="shared" si="240"/>
        <v>38.355889681113098</v>
      </c>
    </row>
    <row r="544" spans="1:15" s="236" customFormat="1" x14ac:dyDescent="0.3">
      <c r="A544" s="237" t="str">
        <f>name!E$12</f>
        <v>Elementary occupations</v>
      </c>
      <c r="B544" s="302">
        <v>13.174888024309414</v>
      </c>
      <c r="C544" s="302">
        <v>7.3487289829036841</v>
      </c>
      <c r="D544" s="302">
        <v>2.8320747802981536</v>
      </c>
      <c r="E544" s="302">
        <f t="shared" si="238"/>
        <v>23.355691787511251</v>
      </c>
      <c r="F544" s="303"/>
      <c r="G544" s="302">
        <v>12.341515769624529</v>
      </c>
      <c r="H544" s="302">
        <v>7.3418194993924022</v>
      </c>
      <c r="I544" s="302">
        <v>2.6438093534756222</v>
      </c>
      <c r="J544" s="302">
        <f t="shared" si="241"/>
        <v>22.32714462249255</v>
      </c>
      <c r="K544" s="303"/>
      <c r="L544" s="302">
        <v>11.574736514648674</v>
      </c>
      <c r="M544" s="302">
        <v>5.249076269842389</v>
      </c>
      <c r="N544" s="302">
        <v>3.2501108098888465</v>
      </c>
      <c r="O544" s="302">
        <f t="shared" si="240"/>
        <v>20.073923594379906</v>
      </c>
    </row>
    <row r="545" spans="1:15" s="236" customFormat="1" x14ac:dyDescent="0.3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3">
      <c r="A546" s="244" t="s">
        <v>32</v>
      </c>
      <c r="B546" s="311">
        <f>SUM(B536:B544)</f>
        <v>377.01300000134148</v>
      </c>
      <c r="C546" s="311">
        <f t="shared" ref="C546:E546" si="242">SUM(C536:C544)</f>
        <v>60.283000001474207</v>
      </c>
      <c r="D546" s="311">
        <f t="shared" si="242"/>
        <v>55.646000000338887</v>
      </c>
      <c r="E546" s="311">
        <f t="shared" si="242"/>
        <v>492.94200000315453</v>
      </c>
      <c r="F546" s="311"/>
      <c r="G546" s="311">
        <f t="shared" ref="G546:J546" si="243">SUM(G536:G544)</f>
        <v>395.55100000022298</v>
      </c>
      <c r="H546" s="311">
        <f t="shared" si="243"/>
        <v>72.245000000654059</v>
      </c>
      <c r="I546" s="311">
        <f t="shared" si="243"/>
        <v>49.087999999822223</v>
      </c>
      <c r="J546" s="311">
        <f t="shared" si="243"/>
        <v>516.8840000006993</v>
      </c>
      <c r="K546" s="311"/>
      <c r="L546" s="311">
        <f t="shared" ref="L546:O546" si="244">SUM(L536:L544)</f>
        <v>431.26700000124004</v>
      </c>
      <c r="M546" s="311">
        <f t="shared" si="244"/>
        <v>69.495999999690667</v>
      </c>
      <c r="N546" s="311">
        <f t="shared" si="244"/>
        <v>52.676999999678934</v>
      </c>
      <c r="O546" s="311">
        <f t="shared" si="244"/>
        <v>553.44000000060976</v>
      </c>
    </row>
    <row r="547" spans="1:15" s="236" customFormat="1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3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3">
      <c r="A550" s="241" t="str">
        <f>name!A35</f>
        <v>Wholesale trade</v>
      </c>
      <c r="B550" s="375">
        <f>$B$6</f>
        <v>2015</v>
      </c>
      <c r="C550" s="375"/>
      <c r="D550" s="375"/>
      <c r="E550" s="375"/>
      <c r="F550" s="263"/>
      <c r="G550" s="375">
        <f>$G$6</f>
        <v>2020</v>
      </c>
      <c r="H550" s="375"/>
      <c r="I550" s="375"/>
      <c r="J550" s="375"/>
      <c r="K550" s="263"/>
      <c r="L550" s="375">
        <f>$L$6</f>
        <v>2035</v>
      </c>
      <c r="M550" s="375"/>
      <c r="N550" s="375"/>
      <c r="O550" s="375"/>
    </row>
    <row r="551" spans="1:15" s="236" customFormat="1" x14ac:dyDescent="0.3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3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3">
      <c r="A553" s="237" t="str">
        <f>name!E$4</f>
        <v>Managers, directors and senior officials</v>
      </c>
      <c r="B553" s="302">
        <v>150.61000475163013</v>
      </c>
      <c r="C553" s="302">
        <v>9.1674059956608307</v>
      </c>
      <c r="D553" s="302">
        <v>24.442517183090466</v>
      </c>
      <c r="E553" s="302">
        <f>SUM(B553:D553)</f>
        <v>184.21992793038143</v>
      </c>
      <c r="F553" s="303"/>
      <c r="G553" s="302">
        <v>179.80139233032421</v>
      </c>
      <c r="H553" s="302">
        <v>12.877047074413927</v>
      </c>
      <c r="I553" s="302">
        <v>25.257474081449292</v>
      </c>
      <c r="J553" s="302">
        <f>SUM(G553:I553)</f>
        <v>217.93591348618742</v>
      </c>
      <c r="K553" s="303"/>
      <c r="L553" s="302">
        <v>192.55211407199189</v>
      </c>
      <c r="M553" s="302">
        <v>13.715393612960275</v>
      </c>
      <c r="N553" s="302">
        <v>26.250221341850768</v>
      </c>
      <c r="O553" s="302">
        <f>SUM(L553:N553)</f>
        <v>232.51772902680293</v>
      </c>
    </row>
    <row r="554" spans="1:15" s="236" customFormat="1" x14ac:dyDescent="0.3">
      <c r="A554" s="237" t="str">
        <f>name!E$5</f>
        <v>Professional occupations</v>
      </c>
      <c r="B554" s="302">
        <v>91.061841563171015</v>
      </c>
      <c r="C554" s="302">
        <v>5.5303378468790561</v>
      </c>
      <c r="D554" s="302">
        <v>6.7757773530140728</v>
      </c>
      <c r="E554" s="302">
        <f t="shared" ref="E554:E561" si="245">SUM(B554:D554)</f>
        <v>103.36795676306414</v>
      </c>
      <c r="F554" s="303"/>
      <c r="G554" s="302">
        <v>127.16730773540957</v>
      </c>
      <c r="H554" s="302">
        <v>7.5240377724754275</v>
      </c>
      <c r="I554" s="302">
        <v>6.1104213976290591</v>
      </c>
      <c r="J554" s="302">
        <f t="shared" ref="J554:J556" si="246">SUM(G554:I554)</f>
        <v>140.80176690551406</v>
      </c>
      <c r="K554" s="303"/>
      <c r="L554" s="302">
        <v>161.10516448698874</v>
      </c>
      <c r="M554" s="302">
        <v>8.2652103444880485</v>
      </c>
      <c r="N554" s="302">
        <v>5.1068081110310208</v>
      </c>
      <c r="O554" s="302">
        <f t="shared" ref="O554:O561" si="247">SUM(L554:N554)</f>
        <v>174.47718294250782</v>
      </c>
    </row>
    <row r="555" spans="1:15" s="236" customFormat="1" x14ac:dyDescent="0.3">
      <c r="A555" s="237" t="str">
        <f>name!E$6</f>
        <v>Associate professional occupations</v>
      </c>
      <c r="B555" s="302">
        <v>116.94244170983188</v>
      </c>
      <c r="C555" s="302">
        <v>15.230530480145328</v>
      </c>
      <c r="D555" s="302">
        <v>8.384149735070384</v>
      </c>
      <c r="E555" s="302">
        <f t="shared" si="245"/>
        <v>140.5571219250476</v>
      </c>
      <c r="F555" s="303"/>
      <c r="G555" s="302">
        <v>142.98183445271891</v>
      </c>
      <c r="H555" s="302">
        <v>16.998302345860196</v>
      </c>
      <c r="I555" s="302">
        <v>6.5767907534404006</v>
      </c>
      <c r="J555" s="302">
        <f t="shared" si="246"/>
        <v>166.55692755201952</v>
      </c>
      <c r="K555" s="303"/>
      <c r="L555" s="302">
        <v>148.70542753128041</v>
      </c>
      <c r="M555" s="302">
        <v>16.002545295518438</v>
      </c>
      <c r="N555" s="302">
        <v>5.2156451894374136</v>
      </c>
      <c r="O555" s="302">
        <f t="shared" si="247"/>
        <v>169.92361801623628</v>
      </c>
    </row>
    <row r="556" spans="1:15" s="236" customFormat="1" x14ac:dyDescent="0.3">
      <c r="A556" s="237" t="str">
        <f>name!E$7</f>
        <v>Administrative and secretarial occupations</v>
      </c>
      <c r="B556" s="302">
        <v>116.84181819719593</v>
      </c>
      <c r="C556" s="302">
        <v>39.493162046652778</v>
      </c>
      <c r="D556" s="302">
        <v>3.2255139533416526</v>
      </c>
      <c r="E556" s="302">
        <f t="shared" si="245"/>
        <v>159.56049419719037</v>
      </c>
      <c r="F556" s="303"/>
      <c r="G556" s="302">
        <v>129.01145314529791</v>
      </c>
      <c r="H556" s="302">
        <v>35.920725852214069</v>
      </c>
      <c r="I556" s="302">
        <v>2.321966118538763</v>
      </c>
      <c r="J556" s="302">
        <f t="shared" si="246"/>
        <v>167.25414511605075</v>
      </c>
      <c r="K556" s="303"/>
      <c r="L556" s="302">
        <v>120.4173516703207</v>
      </c>
      <c r="M556" s="302">
        <v>27.761216431047593</v>
      </c>
      <c r="N556" s="302">
        <v>2.2326495234985271</v>
      </c>
      <c r="O556" s="302">
        <f t="shared" si="247"/>
        <v>150.41121762486682</v>
      </c>
    </row>
    <row r="557" spans="1:15" s="236" customFormat="1" x14ac:dyDescent="0.3">
      <c r="A557" s="237" t="str">
        <f>name!E$8</f>
        <v>Skilled trades occupations</v>
      </c>
      <c r="B557" s="302">
        <v>54.690586414736572</v>
      </c>
      <c r="C557" s="302">
        <v>4.0839696328868511</v>
      </c>
      <c r="D557" s="302">
        <v>9.7520796565517553</v>
      </c>
      <c r="E557" s="302">
        <f t="shared" si="245"/>
        <v>68.526635704175177</v>
      </c>
      <c r="F557" s="303"/>
      <c r="G557" s="302">
        <v>44.886839649005836</v>
      </c>
      <c r="H557" s="302">
        <v>2.5356831868171268</v>
      </c>
      <c r="I557" s="302">
        <v>8.1470265790423397</v>
      </c>
      <c r="J557" s="302">
        <f>SUM(G557:I557)</f>
        <v>55.5695494148653</v>
      </c>
      <c r="K557" s="303"/>
      <c r="L557" s="302">
        <v>41.761596854891145</v>
      </c>
      <c r="M557" s="302">
        <v>2.9934949099311714</v>
      </c>
      <c r="N557" s="302">
        <v>9.454133616930342</v>
      </c>
      <c r="O557" s="302">
        <f t="shared" si="247"/>
        <v>54.20922538175266</v>
      </c>
    </row>
    <row r="558" spans="1:15" s="236" customFormat="1" x14ac:dyDescent="0.3">
      <c r="A558" s="237" t="str">
        <f>name!E$9</f>
        <v>Caring, leisure and other service occupations</v>
      </c>
      <c r="B558" s="302">
        <v>3.3485611331812235</v>
      </c>
      <c r="C558" s="302">
        <v>1.177809757109707</v>
      </c>
      <c r="D558" s="302">
        <v>0.68545339064869559</v>
      </c>
      <c r="E558" s="302">
        <f t="shared" si="245"/>
        <v>5.2118242809396262</v>
      </c>
      <c r="F558" s="303"/>
      <c r="G558" s="302">
        <v>3.5611324202006394</v>
      </c>
      <c r="H558" s="302">
        <v>0.93778824431246932</v>
      </c>
      <c r="I558" s="302">
        <v>0.59900206007720613</v>
      </c>
      <c r="J558" s="302">
        <f t="shared" ref="J558:J561" si="248">SUM(G558:I558)</f>
        <v>5.0979227245903145</v>
      </c>
      <c r="K558" s="303"/>
      <c r="L558" s="302">
        <v>4.4338253479845156</v>
      </c>
      <c r="M558" s="302">
        <v>0.70502995946066471</v>
      </c>
      <c r="N558" s="302">
        <v>0.81060449387987321</v>
      </c>
      <c r="O558" s="302">
        <f t="shared" si="247"/>
        <v>5.9494598013250535</v>
      </c>
    </row>
    <row r="559" spans="1:15" s="236" customFormat="1" x14ac:dyDescent="0.3">
      <c r="A559" s="237" t="str">
        <f>name!E$10</f>
        <v>Sales and customer service occupations</v>
      </c>
      <c r="B559" s="302">
        <v>73.302736454283703</v>
      </c>
      <c r="C559" s="302">
        <v>35.09933350747329</v>
      </c>
      <c r="D559" s="302">
        <v>7.3954298301470587</v>
      </c>
      <c r="E559" s="302">
        <f t="shared" si="245"/>
        <v>115.79749979190404</v>
      </c>
      <c r="F559" s="303"/>
      <c r="G559" s="302">
        <v>72.194561250734878</v>
      </c>
      <c r="H559" s="302">
        <v>29.760611192717498</v>
      </c>
      <c r="I559" s="302">
        <v>4.8014535580357176</v>
      </c>
      <c r="J559" s="302">
        <f t="shared" si="248"/>
        <v>106.75662600148809</v>
      </c>
      <c r="K559" s="303"/>
      <c r="L559" s="302">
        <v>71.422369779094865</v>
      </c>
      <c r="M559" s="302">
        <v>28.960038418248839</v>
      </c>
      <c r="N559" s="302">
        <v>4.5165128470411791</v>
      </c>
      <c r="O559" s="302">
        <f t="shared" si="247"/>
        <v>104.89892104438489</v>
      </c>
    </row>
    <row r="560" spans="1:15" s="236" customFormat="1" x14ac:dyDescent="0.3">
      <c r="A560" s="237" t="str">
        <f>name!E$11</f>
        <v>Process, plant and machine operatives</v>
      </c>
      <c r="B560" s="302">
        <v>153.33298823050325</v>
      </c>
      <c r="C560" s="302">
        <v>10.33290511993687</v>
      </c>
      <c r="D560" s="302">
        <v>3.9743934964644376</v>
      </c>
      <c r="E560" s="302">
        <f t="shared" si="245"/>
        <v>167.64028684690456</v>
      </c>
      <c r="F560" s="303"/>
      <c r="G560" s="302">
        <v>129.04563098459533</v>
      </c>
      <c r="H560" s="302">
        <v>8.6760436434070307</v>
      </c>
      <c r="I560" s="302">
        <v>3.6228200360083034</v>
      </c>
      <c r="J560" s="302">
        <f t="shared" si="248"/>
        <v>141.34449466401068</v>
      </c>
      <c r="K560" s="303"/>
      <c r="L560" s="302">
        <v>137.57311976018087</v>
      </c>
      <c r="M560" s="302">
        <v>11.576984457380233</v>
      </c>
      <c r="N560" s="302">
        <v>5.1533512292494583</v>
      </c>
      <c r="O560" s="302">
        <f t="shared" si="247"/>
        <v>154.30345544681057</v>
      </c>
    </row>
    <row r="561" spans="1:15" s="236" customFormat="1" x14ac:dyDescent="0.3">
      <c r="A561" s="237" t="str">
        <f>name!E$12</f>
        <v>Elementary occupations</v>
      </c>
      <c r="B561" s="302">
        <v>98.50602154836352</v>
      </c>
      <c r="C561" s="302">
        <v>32.875545616796508</v>
      </c>
      <c r="D561" s="302">
        <v>3.1266854030002187</v>
      </c>
      <c r="E561" s="302">
        <f t="shared" si="245"/>
        <v>134.50825256816023</v>
      </c>
      <c r="F561" s="303"/>
      <c r="G561" s="302">
        <v>78.197848029879921</v>
      </c>
      <c r="H561" s="302">
        <v>24.891760689373658</v>
      </c>
      <c r="I561" s="302">
        <v>1.8470454161334775</v>
      </c>
      <c r="J561" s="302">
        <f t="shared" si="248"/>
        <v>104.93665413538706</v>
      </c>
      <c r="K561" s="303"/>
      <c r="L561" s="302">
        <v>58.401030495569614</v>
      </c>
      <c r="M561" s="302">
        <v>19.240086570005456</v>
      </c>
      <c r="N561" s="302">
        <v>2.1660736478906539</v>
      </c>
      <c r="O561" s="302">
        <f t="shared" si="247"/>
        <v>79.807190713465729</v>
      </c>
    </row>
    <row r="562" spans="1:15" s="236" customFormat="1" x14ac:dyDescent="0.3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3">
      <c r="A563" s="244" t="s">
        <v>32</v>
      </c>
      <c r="B563" s="311">
        <f>SUM(B553:B561)</f>
        <v>858.63700000289725</v>
      </c>
      <c r="C563" s="311">
        <f t="shared" ref="C563:E563" si="249">SUM(C553:C561)</f>
        <v>152.99100000354122</v>
      </c>
      <c r="D563" s="311">
        <f t="shared" si="249"/>
        <v>67.762000001328744</v>
      </c>
      <c r="E563" s="311">
        <f t="shared" si="249"/>
        <v>1079.3900000077672</v>
      </c>
      <c r="F563" s="311"/>
      <c r="G563" s="311">
        <f t="shared" ref="G563:J563" si="250">SUM(G553:G561)</f>
        <v>906.8479999981671</v>
      </c>
      <c r="H563" s="311">
        <f t="shared" si="250"/>
        <v>140.1220000015914</v>
      </c>
      <c r="I563" s="311">
        <f t="shared" si="250"/>
        <v>59.284000000354553</v>
      </c>
      <c r="J563" s="311">
        <f t="shared" si="250"/>
        <v>1106.2540000001129</v>
      </c>
      <c r="K563" s="311"/>
      <c r="L563" s="311">
        <f t="shared" ref="L563:O563" si="251">SUM(L553:L561)</f>
        <v>936.37199999830273</v>
      </c>
      <c r="M563" s="311">
        <f t="shared" si="251"/>
        <v>129.21999999904071</v>
      </c>
      <c r="N563" s="311">
        <f t="shared" si="251"/>
        <v>60.906000000809236</v>
      </c>
      <c r="O563" s="311">
        <f t="shared" si="251"/>
        <v>1126.4979999981529</v>
      </c>
    </row>
    <row r="564" spans="1:15" s="236" customFormat="1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3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3">
      <c r="A567" s="241" t="str">
        <f>name!A36</f>
        <v>Retail trade</v>
      </c>
      <c r="B567" s="375">
        <f>$B$6</f>
        <v>2015</v>
      </c>
      <c r="C567" s="375"/>
      <c r="D567" s="375"/>
      <c r="E567" s="375"/>
      <c r="F567" s="263"/>
      <c r="G567" s="375">
        <f>$G$6</f>
        <v>2020</v>
      </c>
      <c r="H567" s="375"/>
      <c r="I567" s="375"/>
      <c r="J567" s="375"/>
      <c r="K567" s="263"/>
      <c r="L567" s="375">
        <f>$L$6</f>
        <v>2035</v>
      </c>
      <c r="M567" s="375"/>
      <c r="N567" s="375"/>
      <c r="O567" s="375"/>
    </row>
    <row r="568" spans="1:15" s="236" customFormat="1" x14ac:dyDescent="0.3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3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3">
      <c r="A570" s="237" t="str">
        <f>name!E$4</f>
        <v>Managers, directors and senior officials</v>
      </c>
      <c r="B570" s="302">
        <v>201.11412820546386</v>
      </c>
      <c r="C570" s="302">
        <v>21.556701317030097</v>
      </c>
      <c r="D570" s="302">
        <v>78.673411000360588</v>
      </c>
      <c r="E570" s="302">
        <f>SUM(B570:D570)</f>
        <v>301.34424052285453</v>
      </c>
      <c r="F570" s="303"/>
      <c r="G570" s="302">
        <v>228.60542385876059</v>
      </c>
      <c r="H570" s="302">
        <v>36.576537209328322</v>
      </c>
      <c r="I570" s="302">
        <v>75.840063467975668</v>
      </c>
      <c r="J570" s="302">
        <f>SUM(G570:I570)</f>
        <v>341.02202453606458</v>
      </c>
      <c r="K570" s="303"/>
      <c r="L570" s="302">
        <v>286.74059383635102</v>
      </c>
      <c r="M570" s="302">
        <v>42.746147524406865</v>
      </c>
      <c r="N570" s="302">
        <v>88.761789663332664</v>
      </c>
      <c r="O570" s="302">
        <f>SUM(L570:N570)</f>
        <v>418.24853102409054</v>
      </c>
    </row>
    <row r="571" spans="1:15" s="236" customFormat="1" x14ac:dyDescent="0.3">
      <c r="A571" s="237" t="str">
        <f>name!E$5</f>
        <v>Professional occupations</v>
      </c>
      <c r="B571" s="302">
        <v>149.60547263929939</v>
      </c>
      <c r="C571" s="302">
        <v>36.864267464375722</v>
      </c>
      <c r="D571" s="302">
        <v>16.552477175469296</v>
      </c>
      <c r="E571" s="302">
        <f t="shared" ref="E571:E578" si="252">SUM(B571:D571)</f>
        <v>203.02221727914443</v>
      </c>
      <c r="F571" s="303"/>
      <c r="G571" s="302">
        <v>189.23905273794347</v>
      </c>
      <c r="H571" s="302">
        <v>52.254080768387318</v>
      </c>
      <c r="I571" s="302">
        <v>14.984549526630071</v>
      </c>
      <c r="J571" s="302">
        <f t="shared" ref="J571:J573" si="253">SUM(G571:I571)</f>
        <v>256.47768303296084</v>
      </c>
      <c r="K571" s="303"/>
      <c r="L571" s="302">
        <v>255.22588450834346</v>
      </c>
      <c r="M571" s="302">
        <v>61.373431593772331</v>
      </c>
      <c r="N571" s="302">
        <v>10.803759283097389</v>
      </c>
      <c r="O571" s="302">
        <f t="shared" ref="O571:O578" si="254">SUM(L571:N571)</f>
        <v>327.40307538521319</v>
      </c>
    </row>
    <row r="572" spans="1:15" s="236" customFormat="1" x14ac:dyDescent="0.3">
      <c r="A572" s="237" t="str">
        <f>name!E$6</f>
        <v>Associate professional occupations</v>
      </c>
      <c r="B572" s="302">
        <v>116.52553289454875</v>
      </c>
      <c r="C572" s="302">
        <v>47.429916744574882</v>
      </c>
      <c r="D572" s="302">
        <v>11.456603971430376</v>
      </c>
      <c r="E572" s="302">
        <f t="shared" si="252"/>
        <v>175.41205361055401</v>
      </c>
      <c r="F572" s="303"/>
      <c r="G572" s="302">
        <v>136.40030822588218</v>
      </c>
      <c r="H572" s="302">
        <v>57.519668624053502</v>
      </c>
      <c r="I572" s="302">
        <v>9.2295592307169763</v>
      </c>
      <c r="J572" s="302">
        <f t="shared" si="253"/>
        <v>203.14953608065267</v>
      </c>
      <c r="K572" s="303"/>
      <c r="L572" s="302">
        <v>157.15464922472538</v>
      </c>
      <c r="M572" s="302">
        <v>55.665964104554604</v>
      </c>
      <c r="N572" s="302">
        <v>7.7085085445356869</v>
      </c>
      <c r="O572" s="302">
        <f t="shared" si="254"/>
        <v>220.52912187381565</v>
      </c>
    </row>
    <row r="573" spans="1:15" s="236" customFormat="1" x14ac:dyDescent="0.3">
      <c r="A573" s="237" t="str">
        <f>name!E$7</f>
        <v>Administrative and secretarial occupations</v>
      </c>
      <c r="B573" s="302">
        <v>104.0057084298253</v>
      </c>
      <c r="C573" s="302">
        <v>63.864156051502427</v>
      </c>
      <c r="D573" s="302">
        <v>3.472972106406186</v>
      </c>
      <c r="E573" s="302">
        <f t="shared" si="252"/>
        <v>171.34283658773393</v>
      </c>
      <c r="F573" s="303"/>
      <c r="G573" s="302">
        <v>106.0139882939705</v>
      </c>
      <c r="H573" s="302">
        <v>72.088302815976306</v>
      </c>
      <c r="I573" s="302">
        <v>3.1275413727913719</v>
      </c>
      <c r="J573" s="302">
        <f t="shared" si="253"/>
        <v>181.22983248273817</v>
      </c>
      <c r="K573" s="303"/>
      <c r="L573" s="302">
        <v>109.40825194882225</v>
      </c>
      <c r="M573" s="302">
        <v>70.293386284758043</v>
      </c>
      <c r="N573" s="302">
        <v>10.667573848991998</v>
      </c>
      <c r="O573" s="302">
        <f t="shared" si="254"/>
        <v>190.36921208257229</v>
      </c>
    </row>
    <row r="574" spans="1:15" s="236" customFormat="1" x14ac:dyDescent="0.3">
      <c r="A574" s="237" t="str">
        <f>name!E$8</f>
        <v>Skilled trades occupations</v>
      </c>
      <c r="B574" s="302">
        <v>69.789003773991084</v>
      </c>
      <c r="C574" s="302">
        <v>26.075334841989111</v>
      </c>
      <c r="D574" s="302">
        <v>34.265125669790478</v>
      </c>
      <c r="E574" s="302">
        <f t="shared" si="252"/>
        <v>130.12946428577067</v>
      </c>
      <c r="F574" s="303"/>
      <c r="G574" s="302">
        <v>55.278408199458745</v>
      </c>
      <c r="H574" s="302">
        <v>20.429580797808583</v>
      </c>
      <c r="I574" s="302">
        <v>27.452785911116369</v>
      </c>
      <c r="J574" s="302">
        <f>SUM(G574:I574)</f>
        <v>103.1607749083837</v>
      </c>
      <c r="K574" s="303"/>
      <c r="L574" s="302">
        <v>61.075841584384193</v>
      </c>
      <c r="M574" s="302">
        <v>19.440168286051613</v>
      </c>
      <c r="N574" s="302">
        <v>30.085487664158105</v>
      </c>
      <c r="O574" s="302">
        <f t="shared" si="254"/>
        <v>110.60149753459392</v>
      </c>
    </row>
    <row r="575" spans="1:15" s="236" customFormat="1" x14ac:dyDescent="0.3">
      <c r="A575" s="237" t="str">
        <f>name!E$9</f>
        <v>Caring, leisure and other service occupations</v>
      </c>
      <c r="B575" s="302">
        <v>8.3399581664729521</v>
      </c>
      <c r="C575" s="302">
        <v>7.6629619379724483</v>
      </c>
      <c r="D575" s="302">
        <v>2.8901572778196263</v>
      </c>
      <c r="E575" s="302">
        <f t="shared" si="252"/>
        <v>18.893077382265027</v>
      </c>
      <c r="F575" s="303"/>
      <c r="G575" s="302">
        <v>7.8579780895158207</v>
      </c>
      <c r="H575" s="302">
        <v>6.9714930596775826</v>
      </c>
      <c r="I575" s="302">
        <v>3.3929121259429502</v>
      </c>
      <c r="J575" s="302">
        <f t="shared" ref="J575:J578" si="255">SUM(G575:I575)</f>
        <v>18.222383275136352</v>
      </c>
      <c r="K575" s="303"/>
      <c r="L575" s="302">
        <v>10.412612403478347</v>
      </c>
      <c r="M575" s="302">
        <v>5.9164691448095486</v>
      </c>
      <c r="N575" s="302">
        <v>5.8005426537795719</v>
      </c>
      <c r="O575" s="302">
        <f t="shared" si="254"/>
        <v>22.129624202067468</v>
      </c>
    </row>
    <row r="576" spans="1:15" s="236" customFormat="1" x14ac:dyDescent="0.3">
      <c r="A576" s="237" t="str">
        <f>name!E$10</f>
        <v>Sales and customer service occupations</v>
      </c>
      <c r="B576" s="302">
        <v>277.10862363920268</v>
      </c>
      <c r="C576" s="302">
        <v>969.1189838729639</v>
      </c>
      <c r="D576" s="302">
        <v>45.740790095090894</v>
      </c>
      <c r="E576" s="302">
        <f t="shared" si="252"/>
        <v>1291.9683976072574</v>
      </c>
      <c r="F576" s="303"/>
      <c r="G576" s="302">
        <v>246.07071836025648</v>
      </c>
      <c r="H576" s="302">
        <v>937.05918931616236</v>
      </c>
      <c r="I576" s="302">
        <v>28.540060123284139</v>
      </c>
      <c r="J576" s="302">
        <f t="shared" si="255"/>
        <v>1211.669967799703</v>
      </c>
      <c r="K576" s="303"/>
      <c r="L576" s="302">
        <v>182.4853029746547</v>
      </c>
      <c r="M576" s="302">
        <v>855.69603674516156</v>
      </c>
      <c r="N576" s="302">
        <v>19.777382989792294</v>
      </c>
      <c r="O576" s="302">
        <f t="shared" si="254"/>
        <v>1057.9587227096085</v>
      </c>
    </row>
    <row r="577" spans="1:15" s="236" customFormat="1" x14ac:dyDescent="0.3">
      <c r="A577" s="237" t="str">
        <f>name!E$11</f>
        <v>Process, plant and machine operatives</v>
      </c>
      <c r="B577" s="302">
        <v>51.292404264503638</v>
      </c>
      <c r="C577" s="302">
        <v>29.782400670312651</v>
      </c>
      <c r="D577" s="302">
        <v>4.2601017174996638</v>
      </c>
      <c r="E577" s="302">
        <f t="shared" si="252"/>
        <v>85.334906652315951</v>
      </c>
      <c r="F577" s="303"/>
      <c r="G577" s="302">
        <v>41.754544368741627</v>
      </c>
      <c r="H577" s="302">
        <v>32.296727727205337</v>
      </c>
      <c r="I577" s="302">
        <v>3.9503734840542477</v>
      </c>
      <c r="J577" s="302">
        <f t="shared" si="255"/>
        <v>78.00164558000121</v>
      </c>
      <c r="K577" s="303"/>
      <c r="L577" s="302">
        <v>41.981474928332943</v>
      </c>
      <c r="M577" s="302">
        <v>46.736554203946007</v>
      </c>
      <c r="N577" s="302">
        <v>5.1694214879183376</v>
      </c>
      <c r="O577" s="302">
        <f t="shared" si="254"/>
        <v>93.887450620197299</v>
      </c>
    </row>
    <row r="578" spans="1:15" s="236" customFormat="1" x14ac:dyDescent="0.3">
      <c r="A578" s="237" t="str">
        <f>name!E$12</f>
        <v>Elementary occupations</v>
      </c>
      <c r="B578" s="302">
        <v>114.87116799054749</v>
      </c>
      <c r="C578" s="302">
        <v>175.81227715748616</v>
      </c>
      <c r="D578" s="302">
        <v>1.5483609900501401</v>
      </c>
      <c r="E578" s="302">
        <f t="shared" si="252"/>
        <v>292.23180613808381</v>
      </c>
      <c r="F578" s="303"/>
      <c r="G578" s="302">
        <v>96.17457786206711</v>
      </c>
      <c r="H578" s="302">
        <v>146.41141972024198</v>
      </c>
      <c r="I578" s="302">
        <v>0.96915475697550679</v>
      </c>
      <c r="J578" s="302">
        <f t="shared" si="255"/>
        <v>243.5551523392846</v>
      </c>
      <c r="K578" s="303"/>
      <c r="L578" s="302">
        <v>94.034388586223045</v>
      </c>
      <c r="M578" s="302">
        <v>112.29084210335064</v>
      </c>
      <c r="N578" s="302">
        <v>1.0775338671634969</v>
      </c>
      <c r="O578" s="302">
        <f t="shared" si="254"/>
        <v>207.4027645567372</v>
      </c>
    </row>
    <row r="579" spans="1:15" s="236" customFormat="1" x14ac:dyDescent="0.3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3">
      <c r="A580" s="244" t="s">
        <v>32</v>
      </c>
      <c r="B580" s="311">
        <f>SUM(B570:B578)</f>
        <v>1092.6520000038552</v>
      </c>
      <c r="C580" s="311">
        <f t="shared" ref="C580:E580" si="256">SUM(C570:C578)</f>
        <v>1378.1670000582076</v>
      </c>
      <c r="D580" s="311">
        <f t="shared" si="256"/>
        <v>198.86000000391724</v>
      </c>
      <c r="E580" s="311">
        <f t="shared" si="256"/>
        <v>2669.6790000659798</v>
      </c>
      <c r="F580" s="311"/>
      <c r="G580" s="311">
        <f t="shared" ref="G580:J580" si="257">SUM(G570:G578)</f>
        <v>1107.3949999965967</v>
      </c>
      <c r="H580" s="311">
        <f t="shared" si="257"/>
        <v>1361.6070000388413</v>
      </c>
      <c r="I580" s="311">
        <f t="shared" si="257"/>
        <v>167.48699999948732</v>
      </c>
      <c r="J580" s="311">
        <f t="shared" si="257"/>
        <v>2636.4890000349255</v>
      </c>
      <c r="K580" s="311"/>
      <c r="L580" s="311">
        <f t="shared" ref="L580:O580" si="258">SUM(L570:L578)</f>
        <v>1198.5189999953152</v>
      </c>
      <c r="M580" s="311">
        <f t="shared" si="258"/>
        <v>1270.1589999908113</v>
      </c>
      <c r="N580" s="311">
        <f t="shared" si="258"/>
        <v>179.85200000276953</v>
      </c>
      <c r="O580" s="311">
        <f t="shared" si="258"/>
        <v>2648.5299999888962</v>
      </c>
    </row>
    <row r="581" spans="1:15" s="236" customFormat="1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3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3">
      <c r="A584" s="241" t="str">
        <f>name!A37</f>
        <v>Land transport, etc</v>
      </c>
      <c r="B584" s="375">
        <f>$B$6</f>
        <v>2015</v>
      </c>
      <c r="C584" s="375"/>
      <c r="D584" s="375"/>
      <c r="E584" s="375"/>
      <c r="F584" s="263"/>
      <c r="G584" s="375">
        <f>$G$6</f>
        <v>2020</v>
      </c>
      <c r="H584" s="375"/>
      <c r="I584" s="375"/>
      <c r="J584" s="375"/>
      <c r="K584" s="263"/>
      <c r="L584" s="375">
        <f>$L$6</f>
        <v>2035</v>
      </c>
      <c r="M584" s="375"/>
      <c r="N584" s="375"/>
      <c r="O584" s="375"/>
    </row>
    <row r="585" spans="1:15" s="236" customFormat="1" x14ac:dyDescent="0.3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3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3">
      <c r="A587" s="237" t="str">
        <f>name!E$4</f>
        <v>Managers, directors and senior officials</v>
      </c>
      <c r="B587" s="302">
        <v>25.457322070439407</v>
      </c>
      <c r="C587" s="302">
        <v>1.1104325752056348</v>
      </c>
      <c r="D587" s="302">
        <v>11.371576900571782</v>
      </c>
      <c r="E587" s="302">
        <f>SUM(B587:D587)</f>
        <v>37.93933154621682</v>
      </c>
      <c r="F587" s="303"/>
      <c r="G587" s="302">
        <v>33.84482601150377</v>
      </c>
      <c r="H587" s="302">
        <v>3.0226339706680236</v>
      </c>
      <c r="I587" s="302">
        <v>11.713443131912952</v>
      </c>
      <c r="J587" s="302">
        <f>SUM(G587:I587)</f>
        <v>48.580903114084748</v>
      </c>
      <c r="K587" s="303"/>
      <c r="L587" s="302">
        <v>38.891078701095502</v>
      </c>
      <c r="M587" s="302">
        <v>3.8446410396325255</v>
      </c>
      <c r="N587" s="302">
        <v>14.547891709049159</v>
      </c>
      <c r="O587" s="302">
        <f>SUM(L587:N587)</f>
        <v>57.28361144977719</v>
      </c>
    </row>
    <row r="588" spans="1:15" s="236" customFormat="1" x14ac:dyDescent="0.3">
      <c r="A588" s="237" t="str">
        <f>name!E$5</f>
        <v>Professional occupations</v>
      </c>
      <c r="B588" s="302">
        <v>24.617796329368918</v>
      </c>
      <c r="C588" s="302">
        <v>1.1675043211217939</v>
      </c>
      <c r="D588" s="302">
        <v>3.3530003665896913</v>
      </c>
      <c r="E588" s="302">
        <f t="shared" ref="E588:E595" si="259">SUM(B588:D588)</f>
        <v>29.138301017080401</v>
      </c>
      <c r="F588" s="303"/>
      <c r="G588" s="302">
        <v>40.023724357347341</v>
      </c>
      <c r="H588" s="302">
        <v>3.3017546780289972</v>
      </c>
      <c r="I588" s="302">
        <v>3.2448538140921954</v>
      </c>
      <c r="J588" s="302">
        <f t="shared" ref="J588:J590" si="260">SUM(G588:I588)</f>
        <v>46.570332849468535</v>
      </c>
      <c r="K588" s="303"/>
      <c r="L588" s="302">
        <v>58.700748343823534</v>
      </c>
      <c r="M588" s="302">
        <v>5.4800600305329858</v>
      </c>
      <c r="N588" s="302">
        <v>3.1274769863249756</v>
      </c>
      <c r="O588" s="302">
        <f t="shared" ref="O588:O595" si="261">SUM(L588:N588)</f>
        <v>67.308285360681495</v>
      </c>
    </row>
    <row r="589" spans="1:15" s="236" customFormat="1" x14ac:dyDescent="0.3">
      <c r="A589" s="237" t="str">
        <f>name!E$6</f>
        <v>Associate professional occupations</v>
      </c>
      <c r="B589" s="302">
        <v>30.030716203572531</v>
      </c>
      <c r="C589" s="302">
        <v>1.5247880057963223</v>
      </c>
      <c r="D589" s="302">
        <v>1.7186865480947682</v>
      </c>
      <c r="E589" s="302">
        <f t="shared" si="259"/>
        <v>33.274190757463622</v>
      </c>
      <c r="F589" s="303"/>
      <c r="G589" s="302">
        <v>44.387811278912238</v>
      </c>
      <c r="H589" s="302">
        <v>3.4307920735265078</v>
      </c>
      <c r="I589" s="302">
        <v>1.7897435189017801</v>
      </c>
      <c r="J589" s="302">
        <f t="shared" si="260"/>
        <v>49.608346871340522</v>
      </c>
      <c r="K589" s="303"/>
      <c r="L589" s="302">
        <v>53.225361442001216</v>
      </c>
      <c r="M589" s="302">
        <v>4.0211432984779565</v>
      </c>
      <c r="N589" s="302">
        <v>1.7601419889808196</v>
      </c>
      <c r="O589" s="302">
        <f t="shared" si="261"/>
        <v>59.006646729459995</v>
      </c>
    </row>
    <row r="590" spans="1:15" s="236" customFormat="1" x14ac:dyDescent="0.3">
      <c r="A590" s="237" t="str">
        <f>name!E$7</f>
        <v>Administrative and secretarial occupations</v>
      </c>
      <c r="B590" s="302">
        <v>38.925387859118565</v>
      </c>
      <c r="C590" s="302">
        <v>8.2516591382557714</v>
      </c>
      <c r="D590" s="302">
        <v>2.0870527120833149</v>
      </c>
      <c r="E590" s="302">
        <f t="shared" si="259"/>
        <v>49.264099709457646</v>
      </c>
      <c r="F590" s="303"/>
      <c r="G590" s="302">
        <v>47.707163758113559</v>
      </c>
      <c r="H590" s="302">
        <v>14.524837496665121</v>
      </c>
      <c r="I590" s="302">
        <v>3.3493377381907736</v>
      </c>
      <c r="J590" s="302">
        <f t="shared" si="260"/>
        <v>65.581338992969449</v>
      </c>
      <c r="K590" s="303"/>
      <c r="L590" s="302">
        <v>44.380950808818561</v>
      </c>
      <c r="M590" s="302">
        <v>11.732347313441698</v>
      </c>
      <c r="N590" s="302">
        <v>2.6472487625462491</v>
      </c>
      <c r="O590" s="302">
        <f t="shared" si="261"/>
        <v>58.760546884806509</v>
      </c>
    </row>
    <row r="591" spans="1:15" s="236" customFormat="1" x14ac:dyDescent="0.3">
      <c r="A591" s="237" t="str">
        <f>name!E$8</f>
        <v>Skilled trades occupations</v>
      </c>
      <c r="B591" s="302">
        <v>32.628312167738009</v>
      </c>
      <c r="C591" s="302">
        <v>1.3294564411616481</v>
      </c>
      <c r="D591" s="302">
        <v>14.999725715709458</v>
      </c>
      <c r="E591" s="302">
        <f t="shared" si="259"/>
        <v>48.957494324609115</v>
      </c>
      <c r="F591" s="303"/>
      <c r="G591" s="302">
        <v>30.427155523741334</v>
      </c>
      <c r="H591" s="302">
        <v>1.4947935064034059</v>
      </c>
      <c r="I591" s="302">
        <v>8.6663502753250032</v>
      </c>
      <c r="J591" s="302">
        <f>SUM(G591:I591)</f>
        <v>40.588299305469739</v>
      </c>
      <c r="K591" s="303"/>
      <c r="L591" s="302">
        <v>26.126327214916213</v>
      </c>
      <c r="M591" s="302">
        <v>2.2145489189848409</v>
      </c>
      <c r="N591" s="302">
        <v>9.435625417027298</v>
      </c>
      <c r="O591" s="302">
        <f t="shared" si="261"/>
        <v>37.776501550928351</v>
      </c>
    </row>
    <row r="592" spans="1:15" s="236" customFormat="1" x14ac:dyDescent="0.3">
      <c r="A592" s="237" t="str">
        <f>name!E$9</f>
        <v>Caring, leisure and other service occupations</v>
      </c>
      <c r="B592" s="302">
        <v>15.972261127896852</v>
      </c>
      <c r="C592" s="302">
        <v>6.9757505567830176</v>
      </c>
      <c r="D592" s="302">
        <v>1.5295980509473928</v>
      </c>
      <c r="E592" s="302">
        <f t="shared" si="259"/>
        <v>24.477609735627262</v>
      </c>
      <c r="F592" s="303"/>
      <c r="G592" s="302">
        <v>20.787437080058847</v>
      </c>
      <c r="H592" s="302">
        <v>11.019584420958095</v>
      </c>
      <c r="I592" s="302">
        <v>1.9223998306455647</v>
      </c>
      <c r="J592" s="302">
        <f t="shared" ref="J592:J595" si="262">SUM(G592:I592)</f>
        <v>33.729421331662508</v>
      </c>
      <c r="K592" s="303"/>
      <c r="L592" s="302">
        <v>28.44890534985479</v>
      </c>
      <c r="M592" s="302">
        <v>11.71388381851126</v>
      </c>
      <c r="N592" s="302">
        <v>2.6906841077540689</v>
      </c>
      <c r="O592" s="302">
        <f t="shared" si="261"/>
        <v>42.853473276120113</v>
      </c>
    </row>
    <row r="593" spans="1:15" s="236" customFormat="1" x14ac:dyDescent="0.3">
      <c r="A593" s="237" t="str">
        <f>name!E$10</f>
        <v>Sales and customer service occupations</v>
      </c>
      <c r="B593" s="302">
        <v>7.454026473135456</v>
      </c>
      <c r="C593" s="302">
        <v>1.374216965230397</v>
      </c>
      <c r="D593" s="302">
        <v>2.0886534011637488</v>
      </c>
      <c r="E593" s="302">
        <f t="shared" si="259"/>
        <v>10.916896839529601</v>
      </c>
      <c r="F593" s="303"/>
      <c r="G593" s="302">
        <v>9.6245728054361859</v>
      </c>
      <c r="H593" s="302">
        <v>2.6601572443816712</v>
      </c>
      <c r="I593" s="302">
        <v>1.7058744241239963</v>
      </c>
      <c r="J593" s="302">
        <f t="shared" si="262"/>
        <v>13.990604473941852</v>
      </c>
      <c r="K593" s="303"/>
      <c r="L593" s="302">
        <v>14.070748063567301</v>
      </c>
      <c r="M593" s="302">
        <v>4.0373554246554031</v>
      </c>
      <c r="N593" s="302">
        <v>1.8084538669279264</v>
      </c>
      <c r="O593" s="302">
        <f t="shared" si="261"/>
        <v>19.91655735515063</v>
      </c>
    </row>
    <row r="594" spans="1:15" s="236" customFormat="1" x14ac:dyDescent="0.3">
      <c r="A594" s="237" t="str">
        <f>name!E$11</f>
        <v>Process, plant and machine operatives</v>
      </c>
      <c r="B594" s="302">
        <v>214.75737036495491</v>
      </c>
      <c r="C594" s="302">
        <v>24.953268703204124</v>
      </c>
      <c r="D594" s="302">
        <v>142.84303613517719</v>
      </c>
      <c r="E594" s="302">
        <f t="shared" si="259"/>
        <v>382.55367520333618</v>
      </c>
      <c r="F594" s="303"/>
      <c r="G594" s="302">
        <v>200.76066484196818</v>
      </c>
      <c r="H594" s="302">
        <v>43.197677274574957</v>
      </c>
      <c r="I594" s="302">
        <v>140.50719838357253</v>
      </c>
      <c r="J594" s="302">
        <f t="shared" si="262"/>
        <v>384.46554050011565</v>
      </c>
      <c r="K594" s="303"/>
      <c r="L594" s="302">
        <v>188.50706630926661</v>
      </c>
      <c r="M594" s="302">
        <v>55.971783624465971</v>
      </c>
      <c r="N594" s="302">
        <v>170.49595489096967</v>
      </c>
      <c r="O594" s="302">
        <f t="shared" si="261"/>
        <v>414.97480482470223</v>
      </c>
    </row>
    <row r="595" spans="1:15" s="236" customFormat="1" x14ac:dyDescent="0.3">
      <c r="A595" s="237" t="str">
        <f>name!E$12</f>
        <v>Elementary occupations</v>
      </c>
      <c r="B595" s="302">
        <v>19.422807406143608</v>
      </c>
      <c r="C595" s="302">
        <v>4.5229232943050803</v>
      </c>
      <c r="D595" s="302">
        <v>3.5756701724773992</v>
      </c>
      <c r="E595" s="302">
        <f t="shared" si="259"/>
        <v>27.521400872926087</v>
      </c>
      <c r="F595" s="303"/>
      <c r="G595" s="302">
        <v>17.498644342160645</v>
      </c>
      <c r="H595" s="302">
        <v>6.320769334857709</v>
      </c>
      <c r="I595" s="302">
        <v>2.3697988865257265</v>
      </c>
      <c r="J595" s="302">
        <f t="shared" si="262"/>
        <v>26.189212563544078</v>
      </c>
      <c r="K595" s="303"/>
      <c r="L595" s="302">
        <v>13.105813766669764</v>
      </c>
      <c r="M595" s="302">
        <v>5.4452365304402548</v>
      </c>
      <c r="N595" s="302">
        <v>2.8495222811252052</v>
      </c>
      <c r="O595" s="302">
        <f t="shared" si="261"/>
        <v>21.40057257823522</v>
      </c>
    </row>
    <row r="596" spans="1:15" s="236" customFormat="1" x14ac:dyDescent="0.3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3">
      <c r="A597" s="244" t="s">
        <v>32</v>
      </c>
      <c r="B597" s="311">
        <f>SUM(B587:B595)</f>
        <v>409.26600000236823</v>
      </c>
      <c r="C597" s="311">
        <f t="shared" ref="C597:E597" si="263">SUM(C587:C595)</f>
        <v>51.21000000106379</v>
      </c>
      <c r="D597" s="311">
        <f t="shared" si="263"/>
        <v>183.56700000281475</v>
      </c>
      <c r="E597" s="311">
        <f t="shared" si="263"/>
        <v>644.04300000624676</v>
      </c>
      <c r="F597" s="311"/>
      <c r="G597" s="311">
        <f t="shared" ref="G597:J597" si="264">SUM(G587:G595)</f>
        <v>445.06199999924206</v>
      </c>
      <c r="H597" s="311">
        <f t="shared" si="264"/>
        <v>88.973000000064502</v>
      </c>
      <c r="I597" s="311">
        <f t="shared" si="264"/>
        <v>175.26900000329053</v>
      </c>
      <c r="J597" s="311">
        <f t="shared" si="264"/>
        <v>709.30400000259715</v>
      </c>
      <c r="K597" s="311"/>
      <c r="L597" s="311">
        <f t="shared" ref="L597:O597" si="265">SUM(L587:L595)</f>
        <v>465.45700000001347</v>
      </c>
      <c r="M597" s="311">
        <f t="shared" si="265"/>
        <v>104.4609999991429</v>
      </c>
      <c r="N597" s="311">
        <f t="shared" si="265"/>
        <v>209.36300001070538</v>
      </c>
      <c r="O597" s="311">
        <f t="shared" si="265"/>
        <v>779.28100000986171</v>
      </c>
    </row>
    <row r="598" spans="1:15" s="236" customFormat="1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3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3">
      <c r="A601" s="241" t="str">
        <f>name!A38</f>
        <v>Water transport</v>
      </c>
      <c r="B601" s="375">
        <f>$B$6</f>
        <v>2015</v>
      </c>
      <c r="C601" s="375"/>
      <c r="D601" s="375"/>
      <c r="E601" s="375"/>
      <c r="F601" s="263"/>
      <c r="G601" s="375">
        <f>$G$6</f>
        <v>2020</v>
      </c>
      <c r="H601" s="375"/>
      <c r="I601" s="375"/>
      <c r="J601" s="375"/>
      <c r="K601" s="263"/>
      <c r="L601" s="375">
        <f>$L$6</f>
        <v>2035</v>
      </c>
      <c r="M601" s="375"/>
      <c r="N601" s="375"/>
      <c r="O601" s="375"/>
    </row>
    <row r="602" spans="1:15" s="236" customFormat="1" x14ac:dyDescent="0.3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3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3">
      <c r="A604" s="237" t="str">
        <f>name!E$4</f>
        <v>Managers, directors and senior officials</v>
      </c>
      <c r="B604" s="302">
        <v>1.2019845434107164</v>
      </c>
      <c r="C604" s="302">
        <v>0.2586367071387598</v>
      </c>
      <c r="D604" s="302">
        <v>0.11404187583497606</v>
      </c>
      <c r="E604" s="302">
        <f>SUM(B604:D604)</f>
        <v>1.5746631263844524</v>
      </c>
      <c r="F604" s="303"/>
      <c r="G604" s="302">
        <v>1.1327923791029251</v>
      </c>
      <c r="H604" s="302">
        <v>0.36966141859286888</v>
      </c>
      <c r="I604" s="302">
        <v>1.0035899449913057</v>
      </c>
      <c r="J604" s="302">
        <f>SUM(G604:I604)</f>
        <v>2.5060437426870994</v>
      </c>
      <c r="K604" s="303"/>
      <c r="L604" s="302">
        <v>0.9826521394308354</v>
      </c>
      <c r="M604" s="302">
        <v>0.33306411709755945</v>
      </c>
      <c r="N604" s="302">
        <v>0.78684897540876542</v>
      </c>
      <c r="O604" s="302">
        <f>SUM(L604:N604)</f>
        <v>2.1025652319371604</v>
      </c>
    </row>
    <row r="605" spans="1:15" s="236" customFormat="1" x14ac:dyDescent="0.3">
      <c r="A605" s="237" t="str">
        <f>name!E$5</f>
        <v>Professional occupations</v>
      </c>
      <c r="B605" s="302">
        <v>2.0550225807441853</v>
      </c>
      <c r="C605" s="302">
        <v>0.19653047750790137</v>
      </c>
      <c r="D605" s="302">
        <v>8.4005323863299647E-2</v>
      </c>
      <c r="E605" s="302">
        <f t="shared" ref="E605:E612" si="266">SUM(B605:D605)</f>
        <v>2.3355583821153862</v>
      </c>
      <c r="F605" s="303"/>
      <c r="G605" s="302">
        <v>2.1523479991063157</v>
      </c>
      <c r="H605" s="302">
        <v>0.30259143988472337</v>
      </c>
      <c r="I605" s="302">
        <v>0.58614730712308716</v>
      </c>
      <c r="J605" s="302">
        <f t="shared" ref="J605:J607" si="267">SUM(G605:I605)</f>
        <v>3.041086746114126</v>
      </c>
      <c r="K605" s="303"/>
      <c r="L605" s="302">
        <v>2.1351104657299653</v>
      </c>
      <c r="M605" s="302">
        <v>0.3106304634184785</v>
      </c>
      <c r="N605" s="302">
        <v>0.42110790297724576</v>
      </c>
      <c r="O605" s="302">
        <f t="shared" ref="O605:O612" si="268">SUM(L605:N605)</f>
        <v>2.8668488321256893</v>
      </c>
    </row>
    <row r="606" spans="1:15" s="236" customFormat="1" x14ac:dyDescent="0.3">
      <c r="A606" s="237" t="str">
        <f>name!E$6</f>
        <v>Associate professional occupations</v>
      </c>
      <c r="B606" s="302">
        <v>2.6171619600789859</v>
      </c>
      <c r="C606" s="302">
        <v>0.17003502133393661</v>
      </c>
      <c r="D606" s="302">
        <v>0.12208299600894079</v>
      </c>
      <c r="E606" s="302">
        <f t="shared" si="266"/>
        <v>2.9092799774218636</v>
      </c>
      <c r="F606" s="303"/>
      <c r="G606" s="302">
        <v>2.4155644213373071</v>
      </c>
      <c r="H606" s="302">
        <v>0.22037332368183271</v>
      </c>
      <c r="I606" s="302">
        <v>0.76569481706457165</v>
      </c>
      <c r="J606" s="302">
        <f t="shared" si="267"/>
        <v>3.4016325620837113</v>
      </c>
      <c r="K606" s="303"/>
      <c r="L606" s="302">
        <v>1.8599207109659028</v>
      </c>
      <c r="M606" s="302">
        <v>0.18221377423732024</v>
      </c>
      <c r="N606" s="302">
        <v>0.56178124518102179</v>
      </c>
      <c r="O606" s="302">
        <f t="shared" si="268"/>
        <v>2.6039157303842453</v>
      </c>
    </row>
    <row r="607" spans="1:15" s="236" customFormat="1" x14ac:dyDescent="0.3">
      <c r="A607" s="237" t="str">
        <f>name!E$7</f>
        <v>Administrative and secretarial occupations</v>
      </c>
      <c r="B607" s="302">
        <v>2.5073860745548684</v>
      </c>
      <c r="C607" s="302">
        <v>0.67059310671389383</v>
      </c>
      <c r="D607" s="302">
        <v>9.5013595624438466E-2</v>
      </c>
      <c r="E607" s="302">
        <f t="shared" si="266"/>
        <v>3.2729927768932008</v>
      </c>
      <c r="F607" s="303"/>
      <c r="G607" s="302">
        <v>2.1363765680973295</v>
      </c>
      <c r="H607" s="302">
        <v>0.7198145563846764</v>
      </c>
      <c r="I607" s="302">
        <v>0.17469264669226819</v>
      </c>
      <c r="J607" s="302">
        <f t="shared" si="267"/>
        <v>3.030883771174274</v>
      </c>
      <c r="K607" s="303"/>
      <c r="L607" s="302">
        <v>1.5331621495569523</v>
      </c>
      <c r="M607" s="302">
        <v>0.42613567066818309</v>
      </c>
      <c r="N607" s="302">
        <v>0.13601804122504058</v>
      </c>
      <c r="O607" s="302">
        <f t="shared" si="268"/>
        <v>2.0953158614501759</v>
      </c>
    </row>
    <row r="608" spans="1:15" s="236" customFormat="1" x14ac:dyDescent="0.3">
      <c r="A608" s="237" t="str">
        <f>name!E$8</f>
        <v>Skilled trades occupations</v>
      </c>
      <c r="B608" s="302">
        <v>0.2883529987016053</v>
      </c>
      <c r="C608" s="302">
        <v>0.11929943865116956</v>
      </c>
      <c r="D608" s="302">
        <v>6.3223566502861997E-2</v>
      </c>
      <c r="E608" s="302">
        <f t="shared" si="266"/>
        <v>0.47087600385563683</v>
      </c>
      <c r="F608" s="303"/>
      <c r="G608" s="302">
        <v>0.23234204413897555</v>
      </c>
      <c r="H608" s="302">
        <v>7.3315746145049418E-2</v>
      </c>
      <c r="I608" s="302">
        <v>0.27433096428539416</v>
      </c>
      <c r="J608" s="302">
        <f>SUM(G608:I608)</f>
        <v>0.57998875456941912</v>
      </c>
      <c r="K608" s="303"/>
      <c r="L608" s="302">
        <v>0.23536440287070126</v>
      </c>
      <c r="M608" s="302">
        <v>5.389666923528267E-2</v>
      </c>
      <c r="N608" s="302">
        <v>0.13800196370288148</v>
      </c>
      <c r="O608" s="302">
        <f t="shared" si="268"/>
        <v>0.42726303580886543</v>
      </c>
    </row>
    <row r="609" spans="1:15" s="236" customFormat="1" x14ac:dyDescent="0.3">
      <c r="A609" s="237" t="str">
        <f>name!E$9</f>
        <v>Caring, leisure and other service occupations</v>
      </c>
      <c r="B609" s="302">
        <v>0.74636589059795388</v>
      </c>
      <c r="C609" s="302">
        <v>0.3339529479019594</v>
      </c>
      <c r="D609" s="302">
        <v>3.948816311914613E-2</v>
      </c>
      <c r="E609" s="302">
        <f t="shared" si="266"/>
        <v>1.1198070016190593</v>
      </c>
      <c r="F609" s="303"/>
      <c r="G609" s="302">
        <v>0.53872078903982323</v>
      </c>
      <c r="H609" s="302">
        <v>0.29463206149166604</v>
      </c>
      <c r="I609" s="302">
        <v>7.7710186045978819E-2</v>
      </c>
      <c r="J609" s="302">
        <f t="shared" ref="J609:J612" si="269">SUM(G609:I609)</f>
        <v>0.91106303657746812</v>
      </c>
      <c r="K609" s="303"/>
      <c r="L609" s="302">
        <v>0.42260902117924404</v>
      </c>
      <c r="M609" s="302">
        <v>0.21061567274081833</v>
      </c>
      <c r="N609" s="302">
        <v>8.6073451561516773E-2</v>
      </c>
      <c r="O609" s="302">
        <f t="shared" si="268"/>
        <v>0.71929814548157911</v>
      </c>
    </row>
    <row r="610" spans="1:15" s="236" customFormat="1" x14ac:dyDescent="0.3">
      <c r="A610" s="237" t="str">
        <f>name!E$10</f>
        <v>Sales and customer service occupations</v>
      </c>
      <c r="B610" s="302">
        <v>0.6478928271236245</v>
      </c>
      <c r="C610" s="302">
        <v>0.15766386138937011</v>
      </c>
      <c r="D610" s="302">
        <v>2.210710246910462E-2</v>
      </c>
      <c r="E610" s="302">
        <f t="shared" si="266"/>
        <v>0.82766379098209919</v>
      </c>
      <c r="F610" s="303"/>
      <c r="G610" s="302">
        <v>0.52775485540969769</v>
      </c>
      <c r="H610" s="302">
        <v>0.16894600925717748</v>
      </c>
      <c r="I610" s="302">
        <v>7.7960382585118282E-2</v>
      </c>
      <c r="J610" s="302">
        <f t="shared" si="269"/>
        <v>0.77466124725199348</v>
      </c>
      <c r="K610" s="303"/>
      <c r="L610" s="302">
        <v>0.46143544200973258</v>
      </c>
      <c r="M610" s="302">
        <v>0.14755989197810443</v>
      </c>
      <c r="N610" s="302">
        <v>6.3352062681582541E-2</v>
      </c>
      <c r="O610" s="302">
        <f t="shared" si="268"/>
        <v>0.67234739666941956</v>
      </c>
    </row>
    <row r="611" spans="1:15" s="236" customFormat="1" x14ac:dyDescent="0.3">
      <c r="A611" s="237" t="str">
        <f>name!E$11</f>
        <v>Process, plant and machine operatives</v>
      </c>
      <c r="B611" s="302">
        <v>0.48362218849681116</v>
      </c>
      <c r="C611" s="302">
        <v>0.19189758948495056</v>
      </c>
      <c r="D611" s="302">
        <v>5.9184596318287513E-2</v>
      </c>
      <c r="E611" s="302">
        <f t="shared" si="266"/>
        <v>0.7347043743000492</v>
      </c>
      <c r="F611" s="303"/>
      <c r="G611" s="302">
        <v>0.4293321794172173</v>
      </c>
      <c r="H611" s="302">
        <v>0.15363192870902467</v>
      </c>
      <c r="I611" s="302">
        <v>0.29649278307903537</v>
      </c>
      <c r="J611" s="302">
        <f t="shared" si="269"/>
        <v>0.87945689120527737</v>
      </c>
      <c r="K611" s="303"/>
      <c r="L611" s="302">
        <v>0.20065665411865211</v>
      </c>
      <c r="M611" s="302">
        <v>0.16421253690546986</v>
      </c>
      <c r="N611" s="302">
        <v>0.20743263243853516</v>
      </c>
      <c r="O611" s="302">
        <f t="shared" si="268"/>
        <v>0.57230182346265712</v>
      </c>
    </row>
    <row r="612" spans="1:15" s="236" customFormat="1" x14ac:dyDescent="0.3">
      <c r="A612" s="237" t="str">
        <f>name!E$12</f>
        <v>Elementary occupations</v>
      </c>
      <c r="B612" s="302">
        <v>0.73421093631534562</v>
      </c>
      <c r="C612" s="302">
        <v>0.1893908499034076</v>
      </c>
      <c r="D612" s="302">
        <v>4.9852780270400313E-2</v>
      </c>
      <c r="E612" s="302">
        <f t="shared" si="266"/>
        <v>0.97345456648915352</v>
      </c>
      <c r="F612" s="303"/>
      <c r="G612" s="302">
        <v>0.51976876432058983</v>
      </c>
      <c r="H612" s="302">
        <v>0.14703351587939784</v>
      </c>
      <c r="I612" s="302">
        <v>0.21838096817409314</v>
      </c>
      <c r="J612" s="302">
        <f t="shared" si="269"/>
        <v>0.8851832483740808</v>
      </c>
      <c r="K612" s="303"/>
      <c r="L612" s="302">
        <v>0.32608901413612873</v>
      </c>
      <c r="M612" s="302">
        <v>7.7671203708042827E-2</v>
      </c>
      <c r="N612" s="302">
        <v>0.15238372488696011</v>
      </c>
      <c r="O612" s="302">
        <f t="shared" si="268"/>
        <v>0.55614394273113166</v>
      </c>
    </row>
    <row r="613" spans="1:15" s="236" customFormat="1" x14ac:dyDescent="0.3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3">
      <c r="A614" s="244" t="s">
        <v>32</v>
      </c>
      <c r="B614" s="311">
        <f>SUM(B604:B612)</f>
        <v>11.282000000024098</v>
      </c>
      <c r="C614" s="311">
        <f t="shared" ref="C614:E614" si="270">SUM(C604:C612)</f>
        <v>2.2880000000253489</v>
      </c>
      <c r="D614" s="311">
        <f t="shared" si="270"/>
        <v>0.64900000001145552</v>
      </c>
      <c r="E614" s="311">
        <f t="shared" si="270"/>
        <v>14.219000000060898</v>
      </c>
      <c r="F614" s="311"/>
      <c r="G614" s="311">
        <f t="shared" ref="G614:J614" si="271">SUM(G604:G612)</f>
        <v>10.084999999970183</v>
      </c>
      <c r="H614" s="311">
        <f t="shared" si="271"/>
        <v>2.4500000000264164</v>
      </c>
      <c r="I614" s="311">
        <f t="shared" si="271"/>
        <v>3.4750000000408519</v>
      </c>
      <c r="J614" s="311">
        <f t="shared" si="271"/>
        <v>16.010000000037451</v>
      </c>
      <c r="K614" s="311"/>
      <c r="L614" s="311">
        <f t="shared" ref="L614:O614" si="272">SUM(L604:L612)</f>
        <v>8.1569999999981135</v>
      </c>
      <c r="M614" s="311">
        <f t="shared" si="272"/>
        <v>1.9059999999892596</v>
      </c>
      <c r="N614" s="311">
        <f t="shared" si="272"/>
        <v>2.55300000006355</v>
      </c>
      <c r="O614" s="311">
        <f t="shared" si="272"/>
        <v>12.616000000050922</v>
      </c>
    </row>
    <row r="615" spans="1:15" s="236" customFormat="1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3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3">
      <c r="A618" s="241" t="str">
        <f>name!A39</f>
        <v>Air transport</v>
      </c>
      <c r="B618" s="375">
        <f>$B$6</f>
        <v>2015</v>
      </c>
      <c r="C618" s="375"/>
      <c r="D618" s="375"/>
      <c r="E618" s="375"/>
      <c r="F618" s="263"/>
      <c r="G618" s="375">
        <f>$G$6</f>
        <v>2020</v>
      </c>
      <c r="H618" s="375"/>
      <c r="I618" s="375"/>
      <c r="J618" s="375"/>
      <c r="K618" s="263"/>
      <c r="L618" s="375">
        <f>$L$6</f>
        <v>2035</v>
      </c>
      <c r="M618" s="375"/>
      <c r="N618" s="375"/>
      <c r="O618" s="375"/>
    </row>
    <row r="619" spans="1:15" s="236" customFormat="1" x14ac:dyDescent="0.3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3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3">
      <c r="A621" s="237" t="str">
        <f>name!E$4</f>
        <v>Managers, directors and senior officials</v>
      </c>
      <c r="B621" s="302">
        <v>3.7354061879372749</v>
      </c>
      <c r="C621" s="302">
        <v>0.44844244270322275</v>
      </c>
      <c r="D621" s="302">
        <v>7.5783830083251541E-2</v>
      </c>
      <c r="E621" s="302">
        <f>SUM(B621:D621)</f>
        <v>4.2596324607237488</v>
      </c>
      <c r="F621" s="303"/>
      <c r="G621" s="302">
        <v>4.3093502011610241</v>
      </c>
      <c r="H621" s="302">
        <v>0.44775940094111266</v>
      </c>
      <c r="I621" s="302">
        <v>0.54964259589519393</v>
      </c>
      <c r="J621" s="302">
        <f>SUM(G621:I621)</f>
        <v>5.3067521979973309</v>
      </c>
      <c r="K621" s="303"/>
      <c r="L621" s="302">
        <v>4.5635883723924175</v>
      </c>
      <c r="M621" s="302">
        <v>0.5253914727137674</v>
      </c>
      <c r="N621" s="302">
        <v>0.57704557827526559</v>
      </c>
      <c r="O621" s="302">
        <f>SUM(L621:N621)</f>
        <v>5.6660254233814511</v>
      </c>
    </row>
    <row r="622" spans="1:15" s="236" customFormat="1" x14ac:dyDescent="0.3">
      <c r="A622" s="237" t="str">
        <f>name!E$5</f>
        <v>Professional occupations</v>
      </c>
      <c r="B622" s="302">
        <v>7.1987185480917431</v>
      </c>
      <c r="C622" s="302">
        <v>0.9777800868798765</v>
      </c>
      <c r="D622" s="302">
        <v>0.1116860782129547</v>
      </c>
      <c r="E622" s="302">
        <f t="shared" ref="E622:E629" si="273">SUM(B622:D622)</f>
        <v>8.2881847131845738</v>
      </c>
      <c r="F622" s="303"/>
      <c r="G622" s="302">
        <v>9.3683419298648012</v>
      </c>
      <c r="H622" s="302">
        <v>1.1669121470792552</v>
      </c>
      <c r="I622" s="302">
        <v>0.52374054074129717</v>
      </c>
      <c r="J622" s="302">
        <f t="shared" ref="J622:J624" si="274">SUM(G622:I622)</f>
        <v>11.058994617685354</v>
      </c>
      <c r="K622" s="303"/>
      <c r="L622" s="302">
        <v>11.155318981082171</v>
      </c>
      <c r="M622" s="302">
        <v>1.5539089497319616</v>
      </c>
      <c r="N622" s="302">
        <v>0.4235257457904481</v>
      </c>
      <c r="O622" s="302">
        <f t="shared" ref="O622:O629" si="275">SUM(L622:N622)</f>
        <v>13.132753676604581</v>
      </c>
    </row>
    <row r="623" spans="1:15" s="236" customFormat="1" x14ac:dyDescent="0.3">
      <c r="A623" s="237" t="str">
        <f>name!E$6</f>
        <v>Associate professional occupations</v>
      </c>
      <c r="B623" s="302">
        <v>9.8005546355313093</v>
      </c>
      <c r="C623" s="302">
        <v>3.2247880191515805</v>
      </c>
      <c r="D623" s="302">
        <v>0.12211571990103114</v>
      </c>
      <c r="E623" s="302">
        <f t="shared" si="273"/>
        <v>13.14745837458392</v>
      </c>
      <c r="F623" s="303"/>
      <c r="G623" s="302">
        <v>11.465744498791537</v>
      </c>
      <c r="H623" s="302">
        <v>2.8421663597781519</v>
      </c>
      <c r="I623" s="302">
        <v>0.35269534471410341</v>
      </c>
      <c r="J623" s="302">
        <f t="shared" si="274"/>
        <v>14.660606203283791</v>
      </c>
      <c r="K623" s="303"/>
      <c r="L623" s="302">
        <v>10.831035820901572</v>
      </c>
      <c r="M623" s="302">
        <v>2.9692327699754619</v>
      </c>
      <c r="N623" s="302">
        <v>0.33541716081658662</v>
      </c>
      <c r="O623" s="302">
        <f t="shared" si="275"/>
        <v>14.135685751693622</v>
      </c>
    </row>
    <row r="624" spans="1:15" s="236" customFormat="1" x14ac:dyDescent="0.3">
      <c r="A624" s="237" t="str">
        <f>name!E$7</f>
        <v>Administrative and secretarial occupations</v>
      </c>
      <c r="B624" s="302">
        <v>3.9660066185303928</v>
      </c>
      <c r="C624" s="302">
        <v>1.9053997928789286</v>
      </c>
      <c r="D624" s="302">
        <v>2.0779290315229754E-2</v>
      </c>
      <c r="E624" s="302">
        <f t="shared" si="273"/>
        <v>5.8921857017245509</v>
      </c>
      <c r="F624" s="303"/>
      <c r="G624" s="302">
        <v>4.1988942787248664</v>
      </c>
      <c r="H624" s="302">
        <v>1.8061018659723818</v>
      </c>
      <c r="I624" s="302">
        <v>6.69048147620349E-2</v>
      </c>
      <c r="J624" s="302">
        <f t="shared" si="274"/>
        <v>6.071900959459283</v>
      </c>
      <c r="K624" s="303"/>
      <c r="L624" s="302">
        <v>4.2348020051950757</v>
      </c>
      <c r="M624" s="302">
        <v>1.6260928936328387</v>
      </c>
      <c r="N624" s="302">
        <v>7.4524111339751467E-2</v>
      </c>
      <c r="O624" s="302">
        <f t="shared" si="275"/>
        <v>5.9354190101676663</v>
      </c>
    </row>
    <row r="625" spans="1:15" s="236" customFormat="1" x14ac:dyDescent="0.3">
      <c r="A625" s="237" t="str">
        <f>name!E$8</f>
        <v>Skilled trades occupations</v>
      </c>
      <c r="B625" s="302">
        <v>4.067592598214314</v>
      </c>
      <c r="C625" s="302">
        <v>1.0684178226928032</v>
      </c>
      <c r="D625" s="302">
        <v>0.17338054146234916</v>
      </c>
      <c r="E625" s="302">
        <f t="shared" si="273"/>
        <v>5.3093909623694664</v>
      </c>
      <c r="F625" s="303"/>
      <c r="G625" s="302">
        <v>3.2109537059506121</v>
      </c>
      <c r="H625" s="302">
        <v>0.42720618073575828</v>
      </c>
      <c r="I625" s="302">
        <v>1.2088933781163236</v>
      </c>
      <c r="J625" s="302">
        <f>SUM(G625:I625)</f>
        <v>4.8470532648026943</v>
      </c>
      <c r="K625" s="303"/>
      <c r="L625" s="302">
        <v>3.3329308813984428</v>
      </c>
      <c r="M625" s="302">
        <v>0.49919723774969016</v>
      </c>
      <c r="N625" s="302">
        <v>1.2096926918268605</v>
      </c>
      <c r="O625" s="302">
        <f t="shared" si="275"/>
        <v>5.0418208109749933</v>
      </c>
    </row>
    <row r="626" spans="1:15" s="236" customFormat="1" x14ac:dyDescent="0.3">
      <c r="A626" s="237" t="str">
        <f>name!E$9</f>
        <v>Caring, leisure and other service occupations</v>
      </c>
      <c r="B626" s="302">
        <v>11.471822575329995</v>
      </c>
      <c r="C626" s="302">
        <v>9.8171887740980797</v>
      </c>
      <c r="D626" s="302">
        <v>3.7461440794076012E-2</v>
      </c>
      <c r="E626" s="302">
        <f t="shared" si="273"/>
        <v>21.326472790222148</v>
      </c>
      <c r="F626" s="303"/>
      <c r="G626" s="302">
        <v>9.5291215161100808</v>
      </c>
      <c r="H626" s="302">
        <v>7.6866408809904838</v>
      </c>
      <c r="I626" s="302">
        <v>0.10032922455625397</v>
      </c>
      <c r="J626" s="302">
        <f t="shared" ref="J626:J629" si="276">SUM(G626:I626)</f>
        <v>17.31609162165682</v>
      </c>
      <c r="K626" s="303"/>
      <c r="L626" s="302">
        <v>8.9495088171936015</v>
      </c>
      <c r="M626" s="302">
        <v>7.8840600605939688</v>
      </c>
      <c r="N626" s="302">
        <v>0.11773017908538976</v>
      </c>
      <c r="O626" s="302">
        <f t="shared" si="275"/>
        <v>16.951299056872958</v>
      </c>
    </row>
    <row r="627" spans="1:15" s="236" customFormat="1" x14ac:dyDescent="0.3">
      <c r="A627" s="237" t="str">
        <f>name!E$10</f>
        <v>Sales and customer service occupations</v>
      </c>
      <c r="B627" s="302">
        <v>1.3905104967862199</v>
      </c>
      <c r="C627" s="302">
        <v>1.6844171119982738</v>
      </c>
      <c r="D627" s="302">
        <v>2.6465359715732509E-2</v>
      </c>
      <c r="E627" s="302">
        <f t="shared" si="273"/>
        <v>3.1013929685002264</v>
      </c>
      <c r="F627" s="303"/>
      <c r="G627" s="302">
        <v>1.4069134531201037</v>
      </c>
      <c r="H627" s="302">
        <v>1.5749456712126426</v>
      </c>
      <c r="I627" s="302">
        <v>0.11037821722868144</v>
      </c>
      <c r="J627" s="302">
        <f t="shared" si="276"/>
        <v>3.0922373415614279</v>
      </c>
      <c r="K627" s="303"/>
      <c r="L627" s="302">
        <v>1.6604338170634085</v>
      </c>
      <c r="M627" s="302">
        <v>2.2709831833565417</v>
      </c>
      <c r="N627" s="302">
        <v>9.0965567966684771E-2</v>
      </c>
      <c r="O627" s="302">
        <f t="shared" si="275"/>
        <v>4.022382568386635</v>
      </c>
    </row>
    <row r="628" spans="1:15" s="236" customFormat="1" x14ac:dyDescent="0.3">
      <c r="A628" s="237" t="str">
        <f>name!E$11</f>
        <v>Process, plant and machine operatives</v>
      </c>
      <c r="B628" s="302">
        <v>3.9864143204359737</v>
      </c>
      <c r="C628" s="302">
        <v>1.5621092696316683</v>
      </c>
      <c r="D628" s="302">
        <v>3.6126974490954269E-2</v>
      </c>
      <c r="E628" s="302">
        <f t="shared" si="273"/>
        <v>5.5846505645585962</v>
      </c>
      <c r="F628" s="303"/>
      <c r="G628" s="302">
        <v>3.4062435630470396</v>
      </c>
      <c r="H628" s="302">
        <v>1.0013654869164352</v>
      </c>
      <c r="I628" s="302">
        <v>0.36653877609596008</v>
      </c>
      <c r="J628" s="302">
        <f t="shared" si="276"/>
        <v>4.7741478260594352</v>
      </c>
      <c r="K628" s="303"/>
      <c r="L628" s="302">
        <v>3.4985117921161528</v>
      </c>
      <c r="M628" s="302">
        <v>1.2579804593100312</v>
      </c>
      <c r="N628" s="302">
        <v>0.47340737181484643</v>
      </c>
      <c r="O628" s="302">
        <f t="shared" si="275"/>
        <v>5.2298996232410309</v>
      </c>
    </row>
    <row r="629" spans="1:15" s="236" customFormat="1" x14ac:dyDescent="0.3">
      <c r="A629" s="237" t="str">
        <f>name!E$12</f>
        <v>Elementary occupations</v>
      </c>
      <c r="B629" s="302">
        <v>2.5859740192631788</v>
      </c>
      <c r="C629" s="302">
        <v>1.2884566803757638</v>
      </c>
      <c r="D629" s="302">
        <v>5.6200765033882036E-2</v>
      </c>
      <c r="E629" s="302">
        <f t="shared" si="273"/>
        <v>3.9306314646728246</v>
      </c>
      <c r="F629" s="303"/>
      <c r="G629" s="302">
        <v>2.2904368530241075</v>
      </c>
      <c r="H629" s="302">
        <v>0.78990200639910113</v>
      </c>
      <c r="I629" s="302">
        <v>0.26587710786441449</v>
      </c>
      <c r="J629" s="302">
        <f t="shared" si="276"/>
        <v>3.3462159672876228</v>
      </c>
      <c r="K629" s="303"/>
      <c r="L629" s="302">
        <v>3.067869512611936</v>
      </c>
      <c r="M629" s="302">
        <v>0.63215297277428917</v>
      </c>
      <c r="N629" s="302">
        <v>0.37769159305089395</v>
      </c>
      <c r="O629" s="302">
        <f t="shared" si="275"/>
        <v>4.0777140784371193</v>
      </c>
    </row>
    <row r="630" spans="1:15" s="236" customFormat="1" x14ac:dyDescent="0.3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3">
      <c r="A631" s="244" t="s">
        <v>32</v>
      </c>
      <c r="B631" s="311">
        <f>SUM(B621:B629)</f>
        <v>48.203000000120404</v>
      </c>
      <c r="C631" s="311">
        <f t="shared" ref="C631:E631" si="277">SUM(C621:C629)</f>
        <v>21.9770000004102</v>
      </c>
      <c r="D631" s="311">
        <f t="shared" si="277"/>
        <v>0.66000000000946113</v>
      </c>
      <c r="E631" s="311">
        <f t="shared" si="277"/>
        <v>70.840000000540059</v>
      </c>
      <c r="F631" s="311"/>
      <c r="G631" s="311">
        <f t="shared" ref="G631:J631" si="278">SUM(G621:G629)</f>
        <v>49.185999999794177</v>
      </c>
      <c r="H631" s="311">
        <f t="shared" si="278"/>
        <v>17.743000000025319</v>
      </c>
      <c r="I631" s="311">
        <f t="shared" si="278"/>
        <v>3.5449999999742632</v>
      </c>
      <c r="J631" s="311">
        <f t="shared" si="278"/>
        <v>70.473999999793762</v>
      </c>
      <c r="K631" s="311"/>
      <c r="L631" s="311">
        <f t="shared" ref="L631:O631" si="279">SUM(L621:L629)</f>
        <v>51.293999999954778</v>
      </c>
      <c r="M631" s="311">
        <f t="shared" si="279"/>
        <v>19.218999999838548</v>
      </c>
      <c r="N631" s="311">
        <f t="shared" si="279"/>
        <v>3.6799999999667277</v>
      </c>
      <c r="O631" s="311">
        <f t="shared" si="279"/>
        <v>74.192999999760048</v>
      </c>
    </row>
    <row r="632" spans="1:15" s="236" customFormat="1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3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3">
      <c r="A635" s="241" t="str">
        <f>name!A40</f>
        <v>Warehousing, etc</v>
      </c>
      <c r="B635" s="375">
        <f>$B$6</f>
        <v>2015</v>
      </c>
      <c r="C635" s="375"/>
      <c r="D635" s="375"/>
      <c r="E635" s="375"/>
      <c r="F635" s="263"/>
      <c r="G635" s="375">
        <f>$G$6</f>
        <v>2020</v>
      </c>
      <c r="H635" s="375"/>
      <c r="I635" s="375"/>
      <c r="J635" s="375"/>
      <c r="K635" s="263"/>
      <c r="L635" s="375">
        <f>$L$6</f>
        <v>2035</v>
      </c>
      <c r="M635" s="375"/>
      <c r="N635" s="375"/>
      <c r="O635" s="375"/>
    </row>
    <row r="636" spans="1:15" s="236" customFormat="1" x14ac:dyDescent="0.3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3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3">
      <c r="A638" s="237" t="str">
        <f>name!E$4</f>
        <v>Managers, directors and senior officials</v>
      </c>
      <c r="B638" s="302">
        <v>37.658443832282067</v>
      </c>
      <c r="C638" s="302">
        <v>2.3238726467178625</v>
      </c>
      <c r="D638" s="302">
        <v>7.4524101714599267</v>
      </c>
      <c r="E638" s="302">
        <f>SUM(B638:D638)</f>
        <v>47.434726650459851</v>
      </c>
      <c r="F638" s="303"/>
      <c r="G638" s="302">
        <v>49.868733073155049</v>
      </c>
      <c r="H638" s="302">
        <v>5.6451997432997372</v>
      </c>
      <c r="I638" s="302">
        <v>9.0121844899673587</v>
      </c>
      <c r="J638" s="302">
        <f>SUM(G638:I638)</f>
        <v>64.526117306422137</v>
      </c>
      <c r="K638" s="303"/>
      <c r="L638" s="302">
        <v>55.783828065204567</v>
      </c>
      <c r="M638" s="302">
        <v>7.54881011108961</v>
      </c>
      <c r="N638" s="302">
        <v>8.3467649799230674</v>
      </c>
      <c r="O638" s="302">
        <f>SUM(L638:N638)</f>
        <v>71.679403156217248</v>
      </c>
    </row>
    <row r="639" spans="1:15" s="236" customFormat="1" x14ac:dyDescent="0.3">
      <c r="A639" s="237" t="str">
        <f>name!E$5</f>
        <v>Professional occupations</v>
      </c>
      <c r="B639" s="302">
        <v>28.826077518244507</v>
      </c>
      <c r="C639" s="302">
        <v>1.5192043539968174</v>
      </c>
      <c r="D639" s="302">
        <v>2.235869761600993</v>
      </c>
      <c r="E639" s="302">
        <f t="shared" ref="E639:E646" si="280">SUM(B639:D639)</f>
        <v>32.581151633842317</v>
      </c>
      <c r="F639" s="303"/>
      <c r="G639" s="302">
        <v>44.314200931273533</v>
      </c>
      <c r="H639" s="302">
        <v>3.8538768670016799</v>
      </c>
      <c r="I639" s="302">
        <v>2.5017954013417727</v>
      </c>
      <c r="J639" s="302">
        <f t="shared" ref="J639:J641" si="281">SUM(G639:I639)</f>
        <v>50.669873199616987</v>
      </c>
      <c r="K639" s="303"/>
      <c r="L639" s="302">
        <v>61.239510205690429</v>
      </c>
      <c r="M639" s="302">
        <v>5.8929760008816263</v>
      </c>
      <c r="N639" s="302">
        <v>1.9560481680863022</v>
      </c>
      <c r="O639" s="302">
        <f t="shared" ref="O639:O646" si="282">SUM(L639:N639)</f>
        <v>69.088534374658352</v>
      </c>
    </row>
    <row r="640" spans="1:15" s="236" customFormat="1" x14ac:dyDescent="0.3">
      <c r="A640" s="237" t="str">
        <f>name!E$6</f>
        <v>Associate professional occupations</v>
      </c>
      <c r="B640" s="302">
        <v>26.58760712619171</v>
      </c>
      <c r="C640" s="302">
        <v>2.1604786119790234</v>
      </c>
      <c r="D640" s="302">
        <v>2.1701415672855977</v>
      </c>
      <c r="E640" s="302">
        <f t="shared" si="280"/>
        <v>30.91822730545633</v>
      </c>
      <c r="F640" s="303"/>
      <c r="G640" s="302">
        <v>37.503474260227662</v>
      </c>
      <c r="H640" s="302">
        <v>4.6189163836606717</v>
      </c>
      <c r="I640" s="302">
        <v>2.2104086625611412</v>
      </c>
      <c r="J640" s="302">
        <f t="shared" si="281"/>
        <v>44.332799306449481</v>
      </c>
      <c r="K640" s="303"/>
      <c r="L640" s="302">
        <v>42.606500826490162</v>
      </c>
      <c r="M640" s="302">
        <v>5.5644544511867258</v>
      </c>
      <c r="N640" s="302">
        <v>1.7651335631885492</v>
      </c>
      <c r="O640" s="302">
        <f t="shared" si="282"/>
        <v>49.936088840865438</v>
      </c>
    </row>
    <row r="641" spans="1:15" s="236" customFormat="1" x14ac:dyDescent="0.3">
      <c r="A641" s="237" t="str">
        <f>name!E$7</f>
        <v>Administrative and secretarial occupations</v>
      </c>
      <c r="B641" s="302">
        <v>34.420037062289111</v>
      </c>
      <c r="C641" s="302">
        <v>7.9678144879092816</v>
      </c>
      <c r="D641" s="302">
        <v>1.3999805384014783</v>
      </c>
      <c r="E641" s="302">
        <f t="shared" si="280"/>
        <v>43.78783208859987</v>
      </c>
      <c r="F641" s="303"/>
      <c r="G641" s="302">
        <v>45.274189419825682</v>
      </c>
      <c r="H641" s="302">
        <v>13.459021828058873</v>
      </c>
      <c r="I641" s="302">
        <v>1.1107938082570299</v>
      </c>
      <c r="J641" s="302">
        <f t="shared" si="281"/>
        <v>59.844005056141583</v>
      </c>
      <c r="K641" s="303"/>
      <c r="L641" s="302">
        <v>47.046245575705996</v>
      </c>
      <c r="M641" s="302">
        <v>13.183700614146289</v>
      </c>
      <c r="N641" s="302">
        <v>1.0721910651468463</v>
      </c>
      <c r="O641" s="302">
        <f t="shared" si="282"/>
        <v>61.302137254999131</v>
      </c>
    </row>
    <row r="642" spans="1:15" s="236" customFormat="1" x14ac:dyDescent="0.3">
      <c r="A642" s="237" t="str">
        <f>name!E$8</f>
        <v>Skilled trades occupations</v>
      </c>
      <c r="B642" s="302">
        <v>11.486695492177338</v>
      </c>
      <c r="C642" s="302">
        <v>1.8435666074575361</v>
      </c>
      <c r="D642" s="302">
        <v>1.9953512379929235</v>
      </c>
      <c r="E642" s="302">
        <f t="shared" si="280"/>
        <v>15.325613337627797</v>
      </c>
      <c r="F642" s="303"/>
      <c r="G642" s="302">
        <v>11.167020572923535</v>
      </c>
      <c r="H642" s="302">
        <v>2.1691104918267166</v>
      </c>
      <c r="I642" s="302">
        <v>1.9386355700564109</v>
      </c>
      <c r="J642" s="302">
        <f>SUM(G642:I642)</f>
        <v>15.274766634806662</v>
      </c>
      <c r="K642" s="303"/>
      <c r="L642" s="302">
        <v>12.445007456447094</v>
      </c>
      <c r="M642" s="302">
        <v>3.4680039213088225</v>
      </c>
      <c r="N642" s="302">
        <v>1.9130957706629088</v>
      </c>
      <c r="O642" s="302">
        <f t="shared" si="282"/>
        <v>17.826107148418824</v>
      </c>
    </row>
    <row r="643" spans="1:15" s="236" customFormat="1" x14ac:dyDescent="0.3">
      <c r="A643" s="237" t="str">
        <f>name!E$9</f>
        <v>Caring, leisure and other service occupations</v>
      </c>
      <c r="B643" s="302">
        <v>24.312631259825476</v>
      </c>
      <c r="C643" s="302">
        <v>14.505302244576816</v>
      </c>
      <c r="D643" s="302">
        <v>5.7790125427775951</v>
      </c>
      <c r="E643" s="302">
        <f t="shared" si="280"/>
        <v>44.596946047179884</v>
      </c>
      <c r="F643" s="303"/>
      <c r="G643" s="302">
        <v>28.115186533199363</v>
      </c>
      <c r="H643" s="302">
        <v>18.815403754116435</v>
      </c>
      <c r="I643" s="302">
        <v>4.627785048575646</v>
      </c>
      <c r="J643" s="302">
        <f t="shared" ref="J643:J646" si="283">SUM(G643:I643)</f>
        <v>51.558375335891441</v>
      </c>
      <c r="K643" s="303"/>
      <c r="L643" s="302">
        <v>30.335143154075503</v>
      </c>
      <c r="M643" s="302">
        <v>21.503635963119955</v>
      </c>
      <c r="N643" s="302">
        <v>5.3918427484911007</v>
      </c>
      <c r="O643" s="302">
        <f t="shared" si="282"/>
        <v>57.230621865686558</v>
      </c>
    </row>
    <row r="644" spans="1:15" s="236" customFormat="1" x14ac:dyDescent="0.3">
      <c r="A644" s="237" t="str">
        <f>name!E$10</f>
        <v>Sales and customer service occupations</v>
      </c>
      <c r="B644" s="302">
        <v>16.905598740255545</v>
      </c>
      <c r="C644" s="302">
        <v>4.475282541124292</v>
      </c>
      <c r="D644" s="302">
        <v>1.8151432360721338</v>
      </c>
      <c r="E644" s="302">
        <f t="shared" si="280"/>
        <v>23.196024517451971</v>
      </c>
      <c r="F644" s="303"/>
      <c r="G644" s="302">
        <v>20.545608864882414</v>
      </c>
      <c r="H644" s="302">
        <v>7.5105177756766794</v>
      </c>
      <c r="I644" s="302">
        <v>1.7577323524926161</v>
      </c>
      <c r="J644" s="302">
        <f t="shared" si="283"/>
        <v>29.81385899305171</v>
      </c>
      <c r="K644" s="303"/>
      <c r="L644" s="302">
        <v>25.098006043786157</v>
      </c>
      <c r="M644" s="302">
        <v>9.9045998089924474</v>
      </c>
      <c r="N644" s="302">
        <v>1.4412089806298609</v>
      </c>
      <c r="O644" s="302">
        <f t="shared" si="282"/>
        <v>36.44381483340846</v>
      </c>
    </row>
    <row r="645" spans="1:15" s="236" customFormat="1" x14ac:dyDescent="0.3">
      <c r="A645" s="237" t="str">
        <f>name!E$11</f>
        <v>Process, plant and machine operatives</v>
      </c>
      <c r="B645" s="302">
        <v>81.203282657151206</v>
      </c>
      <c r="C645" s="302">
        <v>8.1051064584517434</v>
      </c>
      <c r="D645" s="302">
        <v>2.5059593802319458</v>
      </c>
      <c r="E645" s="302">
        <f t="shared" si="280"/>
        <v>91.814348495834892</v>
      </c>
      <c r="F645" s="303"/>
      <c r="G645" s="302">
        <v>80.974564088943396</v>
      </c>
      <c r="H645" s="302">
        <v>14.163005408738798</v>
      </c>
      <c r="I645" s="302">
        <v>3.507590953107496</v>
      </c>
      <c r="J645" s="302">
        <f t="shared" si="283"/>
        <v>98.645160450789689</v>
      </c>
      <c r="K645" s="303"/>
      <c r="L645" s="302">
        <v>90.592435331296258</v>
      </c>
      <c r="M645" s="302">
        <v>18.664006260395062</v>
      </c>
      <c r="N645" s="302">
        <v>3.5028384162200132</v>
      </c>
      <c r="O645" s="302">
        <f t="shared" si="282"/>
        <v>112.75928000791134</v>
      </c>
    </row>
    <row r="646" spans="1:15" s="236" customFormat="1" x14ac:dyDescent="0.3">
      <c r="A646" s="237" t="str">
        <f>name!E$12</f>
        <v>Elementary occupations</v>
      </c>
      <c r="B646" s="302">
        <v>80.492626312935428</v>
      </c>
      <c r="C646" s="302">
        <v>10.851372048723686</v>
      </c>
      <c r="D646" s="302">
        <v>1.6101315647235956</v>
      </c>
      <c r="E646" s="302">
        <f t="shared" si="280"/>
        <v>92.95412992638272</v>
      </c>
      <c r="F646" s="303"/>
      <c r="G646" s="302">
        <v>73.682022255088214</v>
      </c>
      <c r="H646" s="302">
        <v>14.247947747958719</v>
      </c>
      <c r="I646" s="302">
        <v>1.4070737139771623</v>
      </c>
      <c r="J646" s="302">
        <f t="shared" si="283"/>
        <v>89.337043717024102</v>
      </c>
      <c r="K646" s="303"/>
      <c r="L646" s="302">
        <v>55.372323341472914</v>
      </c>
      <c r="M646" s="302">
        <v>11.423812868296119</v>
      </c>
      <c r="N646" s="302">
        <v>1.4888763083265926</v>
      </c>
      <c r="O646" s="302">
        <f t="shared" si="282"/>
        <v>68.285012518095627</v>
      </c>
    </row>
    <row r="647" spans="1:15" s="236" customFormat="1" x14ac:dyDescent="0.3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3">
      <c r="A648" s="244" t="s">
        <v>32</v>
      </c>
      <c r="B648" s="311">
        <f>SUM(B638:B646)</f>
        <v>341.89300000135245</v>
      </c>
      <c r="C648" s="311">
        <f t="shared" ref="C648:E648" si="284">SUM(C638:C646)</f>
        <v>53.752000000937059</v>
      </c>
      <c r="D648" s="311">
        <f t="shared" si="284"/>
        <v>26.964000000546193</v>
      </c>
      <c r="E648" s="311">
        <f t="shared" si="284"/>
        <v>422.60900000283567</v>
      </c>
      <c r="F648" s="311"/>
      <c r="G648" s="311">
        <f t="shared" ref="G648:J648" si="285">SUM(G638:G646)</f>
        <v>391.44499999951881</v>
      </c>
      <c r="H648" s="311">
        <f t="shared" si="285"/>
        <v>84.483000000338322</v>
      </c>
      <c r="I648" s="311">
        <f t="shared" si="285"/>
        <v>28.074000000336635</v>
      </c>
      <c r="J648" s="311">
        <f t="shared" si="285"/>
        <v>504.00200000019379</v>
      </c>
      <c r="K648" s="311"/>
      <c r="L648" s="311">
        <f t="shared" ref="L648:O648" si="286">SUM(L638:L646)</f>
        <v>420.51900000016906</v>
      </c>
      <c r="M648" s="311">
        <f t="shared" si="286"/>
        <v>97.153999999416669</v>
      </c>
      <c r="N648" s="311">
        <f t="shared" si="286"/>
        <v>26.87800000067524</v>
      </c>
      <c r="O648" s="311">
        <f t="shared" si="286"/>
        <v>544.55100000026096</v>
      </c>
    </row>
    <row r="649" spans="1:15" s="236" customFormat="1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3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3">
      <c r="A652" s="241" t="str">
        <f>name!A41</f>
        <v>Postal and courier</v>
      </c>
      <c r="B652" s="375">
        <f>$B$6</f>
        <v>2015</v>
      </c>
      <c r="C652" s="375"/>
      <c r="D652" s="375"/>
      <c r="E652" s="375"/>
      <c r="F652" s="263"/>
      <c r="G652" s="375">
        <f>$G$6</f>
        <v>2020</v>
      </c>
      <c r="H652" s="375"/>
      <c r="I652" s="375"/>
      <c r="J652" s="375"/>
      <c r="K652" s="263"/>
      <c r="L652" s="375">
        <f>$L$6</f>
        <v>2035</v>
      </c>
      <c r="M652" s="375"/>
      <c r="N652" s="375"/>
      <c r="O652" s="375"/>
    </row>
    <row r="653" spans="1:15" s="236" customFormat="1" x14ac:dyDescent="0.3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3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3">
      <c r="A655" s="237" t="str">
        <f>name!E$4</f>
        <v>Managers, directors and senior officials</v>
      </c>
      <c r="B655" s="302">
        <v>15.980561836936552</v>
      </c>
      <c r="C655" s="302">
        <v>1.0365832790588658</v>
      </c>
      <c r="D655" s="302">
        <v>2.0201028451407672</v>
      </c>
      <c r="E655" s="302">
        <f>SUM(B655:D655)</f>
        <v>19.037247961136185</v>
      </c>
      <c r="F655" s="303"/>
      <c r="G655" s="302">
        <v>20.568519707691831</v>
      </c>
      <c r="H655" s="302">
        <v>2.2658251746509621</v>
      </c>
      <c r="I655" s="302">
        <v>3.6332539995427324</v>
      </c>
      <c r="J655" s="302">
        <f>SUM(G655:I655)</f>
        <v>26.467598881885525</v>
      </c>
      <c r="K655" s="303"/>
      <c r="L655" s="302">
        <v>25.247506094123253</v>
      </c>
      <c r="M655" s="302">
        <v>3.4180698303262207</v>
      </c>
      <c r="N655" s="302">
        <v>2.8750580076286796</v>
      </c>
      <c r="O655" s="302">
        <f>SUM(L655:N655)</f>
        <v>31.540633932078155</v>
      </c>
    </row>
    <row r="656" spans="1:15" s="236" customFormat="1" x14ac:dyDescent="0.3">
      <c r="A656" s="237" t="str">
        <f>name!E$5</f>
        <v>Professional occupations</v>
      </c>
      <c r="B656" s="302">
        <v>9.7881632552590965</v>
      </c>
      <c r="C656" s="302">
        <v>0.96187645072041983</v>
      </c>
      <c r="D656" s="302">
        <v>0.66723169252331749</v>
      </c>
      <c r="E656" s="302">
        <f t="shared" ref="E656:E663" si="287">SUM(B656:D656)</f>
        <v>11.417271398502834</v>
      </c>
      <c r="F656" s="303"/>
      <c r="G656" s="302">
        <v>14.681297947269254</v>
      </c>
      <c r="H656" s="302">
        <v>2.0631970697586373</v>
      </c>
      <c r="I656" s="302">
        <v>0.9435783893743912</v>
      </c>
      <c r="J656" s="302">
        <f t="shared" ref="J656:J658" si="288">SUM(G656:I656)</f>
        <v>17.688073406402282</v>
      </c>
      <c r="K656" s="303"/>
      <c r="L656" s="302">
        <v>18.781140414996404</v>
      </c>
      <c r="M656" s="302">
        <v>3.3581612486187913</v>
      </c>
      <c r="N656" s="302">
        <v>0.71958555745918684</v>
      </c>
      <c r="O656" s="302">
        <f t="shared" ref="O656:O663" si="289">SUM(L656:N656)</f>
        <v>22.858887221074383</v>
      </c>
    </row>
    <row r="657" spans="1:15" s="236" customFormat="1" x14ac:dyDescent="0.3">
      <c r="A657" s="237" t="str">
        <f>name!E$6</f>
        <v>Associate professional occupations</v>
      </c>
      <c r="B657" s="302">
        <v>11.355757253098025</v>
      </c>
      <c r="C657" s="302">
        <v>1.7133328402289254</v>
      </c>
      <c r="D657" s="302">
        <v>0.4655748913779742</v>
      </c>
      <c r="E657" s="302">
        <f t="shared" si="287"/>
        <v>13.534664984704925</v>
      </c>
      <c r="F657" s="303"/>
      <c r="G657" s="302">
        <v>14.687855124348916</v>
      </c>
      <c r="H657" s="302">
        <v>2.7408918255889643</v>
      </c>
      <c r="I657" s="302">
        <v>0.6726140474054596</v>
      </c>
      <c r="J657" s="302">
        <f t="shared" si="288"/>
        <v>18.101360997343342</v>
      </c>
      <c r="K657" s="303"/>
      <c r="L657" s="302">
        <v>16.065090273436525</v>
      </c>
      <c r="M657" s="302">
        <v>3.7072133282561937</v>
      </c>
      <c r="N657" s="302">
        <v>0.5619810102595566</v>
      </c>
      <c r="O657" s="302">
        <f t="shared" si="289"/>
        <v>20.334284611952278</v>
      </c>
    </row>
    <row r="658" spans="1:15" s="236" customFormat="1" x14ac:dyDescent="0.3">
      <c r="A658" s="237" t="str">
        <f>name!E$7</f>
        <v>Administrative and secretarial occupations</v>
      </c>
      <c r="B658" s="302">
        <v>24.330745727980165</v>
      </c>
      <c r="C658" s="302">
        <v>15.912604734825864</v>
      </c>
      <c r="D658" s="302">
        <v>0.30818270544816073</v>
      </c>
      <c r="E658" s="302">
        <f t="shared" si="287"/>
        <v>40.551533168254188</v>
      </c>
      <c r="F658" s="303"/>
      <c r="G658" s="302">
        <v>27.300402714732254</v>
      </c>
      <c r="H658" s="302">
        <v>21.102127131436937</v>
      </c>
      <c r="I658" s="302">
        <v>0.44641326467662434</v>
      </c>
      <c r="J658" s="302">
        <f t="shared" si="288"/>
        <v>48.848943110845809</v>
      </c>
      <c r="K658" s="303"/>
      <c r="L658" s="302">
        <v>27.58337110554746</v>
      </c>
      <c r="M658" s="302">
        <v>21.257295956431179</v>
      </c>
      <c r="N658" s="302">
        <v>0.41006329395355817</v>
      </c>
      <c r="O658" s="302">
        <f t="shared" si="289"/>
        <v>49.250730355932191</v>
      </c>
    </row>
    <row r="659" spans="1:15" s="236" customFormat="1" x14ac:dyDescent="0.3">
      <c r="A659" s="237" t="str">
        <f>name!E$8</f>
        <v>Skilled trades occupations</v>
      </c>
      <c r="B659" s="302">
        <v>4.0575141233741014</v>
      </c>
      <c r="C659" s="302">
        <v>5.3620337934863791</v>
      </c>
      <c r="D659" s="302">
        <v>3.0034024228007805</v>
      </c>
      <c r="E659" s="302">
        <f t="shared" si="287"/>
        <v>12.422950339661261</v>
      </c>
      <c r="F659" s="303"/>
      <c r="G659" s="302">
        <v>3.5063430511378635</v>
      </c>
      <c r="H659" s="302">
        <v>6.6043137148607665</v>
      </c>
      <c r="I659" s="302">
        <v>2.8482451205302315</v>
      </c>
      <c r="J659" s="302">
        <f>SUM(G659:I659)</f>
        <v>12.958901886528862</v>
      </c>
      <c r="K659" s="303"/>
      <c r="L659" s="302">
        <v>4.2460716515757317</v>
      </c>
      <c r="M659" s="302">
        <v>8.2849277423302059</v>
      </c>
      <c r="N659" s="302">
        <v>2.2944048665480459</v>
      </c>
      <c r="O659" s="302">
        <f t="shared" si="289"/>
        <v>14.825404260453983</v>
      </c>
    </row>
    <row r="660" spans="1:15" s="236" customFormat="1" x14ac:dyDescent="0.3">
      <c r="A660" s="237" t="str">
        <f>name!E$9</f>
        <v>Caring, leisure and other service occupations</v>
      </c>
      <c r="B660" s="302">
        <v>4.362758512763051</v>
      </c>
      <c r="C660" s="302">
        <v>2.5723445158571554</v>
      </c>
      <c r="D660" s="302">
        <v>0.28334266406954395</v>
      </c>
      <c r="E660" s="302">
        <f t="shared" si="287"/>
        <v>7.21844569268975</v>
      </c>
      <c r="F660" s="303"/>
      <c r="G660" s="302">
        <v>4.7522875876280652</v>
      </c>
      <c r="H660" s="302">
        <v>3.3692531315000642</v>
      </c>
      <c r="I660" s="302">
        <v>0.66115637412256689</v>
      </c>
      <c r="J660" s="302">
        <f t="shared" ref="J660:J663" si="290">SUM(G660:I660)</f>
        <v>8.7826970932506967</v>
      </c>
      <c r="K660" s="303"/>
      <c r="L660" s="302">
        <v>6.5496643213479171</v>
      </c>
      <c r="M660" s="302">
        <v>3.8269123289633469</v>
      </c>
      <c r="N660" s="302">
        <v>0.73538779251635278</v>
      </c>
      <c r="O660" s="302">
        <f t="shared" si="289"/>
        <v>11.111964442827617</v>
      </c>
    </row>
    <row r="661" spans="1:15" s="236" customFormat="1" x14ac:dyDescent="0.3">
      <c r="A661" s="237" t="str">
        <f>name!E$10</f>
        <v>Sales and customer service occupations</v>
      </c>
      <c r="B661" s="302">
        <v>9.3416578547270195</v>
      </c>
      <c r="C661" s="302">
        <v>4.9002725626016996</v>
      </c>
      <c r="D661" s="302">
        <v>0.3011482555977425</v>
      </c>
      <c r="E661" s="302">
        <f t="shared" si="287"/>
        <v>14.543078672926463</v>
      </c>
      <c r="F661" s="303"/>
      <c r="G661" s="302">
        <v>10.408872983181068</v>
      </c>
      <c r="H661" s="302">
        <v>6.4116734541762579</v>
      </c>
      <c r="I661" s="302">
        <v>0.33638835252831178</v>
      </c>
      <c r="J661" s="302">
        <f t="shared" si="290"/>
        <v>17.156934789885639</v>
      </c>
      <c r="K661" s="303"/>
      <c r="L661" s="302">
        <v>12.849320709994688</v>
      </c>
      <c r="M661" s="302">
        <v>9.2855618301734459</v>
      </c>
      <c r="N661" s="302">
        <v>0.29379084847826614</v>
      </c>
      <c r="O661" s="302">
        <f t="shared" si="289"/>
        <v>22.428673388646402</v>
      </c>
    </row>
    <row r="662" spans="1:15" s="236" customFormat="1" x14ac:dyDescent="0.3">
      <c r="A662" s="237" t="str">
        <f>name!E$11</f>
        <v>Process, plant and machine operatives</v>
      </c>
      <c r="B662" s="302">
        <v>25.516273287375885</v>
      </c>
      <c r="C662" s="302">
        <v>2.7601254460949929</v>
      </c>
      <c r="D662" s="302">
        <v>4.2122627179975041</v>
      </c>
      <c r="E662" s="302">
        <f t="shared" si="287"/>
        <v>32.488661451468381</v>
      </c>
      <c r="F662" s="303"/>
      <c r="G662" s="302">
        <v>23.312884516216577</v>
      </c>
      <c r="H662" s="302">
        <v>4.7323810946461942</v>
      </c>
      <c r="I662" s="302">
        <v>5.9148042027496874</v>
      </c>
      <c r="J662" s="302">
        <f t="shared" si="290"/>
        <v>33.960069813612456</v>
      </c>
      <c r="K662" s="303"/>
      <c r="L662" s="302">
        <v>25.542791361125911</v>
      </c>
      <c r="M662" s="302">
        <v>7.2489123611051429</v>
      </c>
      <c r="N662" s="302">
        <v>5.9234276064020088</v>
      </c>
      <c r="O662" s="302">
        <f t="shared" si="289"/>
        <v>38.715131328633063</v>
      </c>
    </row>
    <row r="663" spans="1:15" s="236" customFormat="1" x14ac:dyDescent="0.3">
      <c r="A663" s="237" t="str">
        <f>name!E$12</f>
        <v>Elementary occupations</v>
      </c>
      <c r="B663" s="302">
        <v>69.438568149463407</v>
      </c>
      <c r="C663" s="302">
        <v>24.910826378423177</v>
      </c>
      <c r="D663" s="302">
        <v>2.3717518052126967</v>
      </c>
      <c r="E663" s="302">
        <f t="shared" si="287"/>
        <v>96.721146333099284</v>
      </c>
      <c r="F663" s="303"/>
      <c r="G663" s="302">
        <v>66.904536366940448</v>
      </c>
      <c r="H663" s="302">
        <v>29.551337404599746</v>
      </c>
      <c r="I663" s="302">
        <v>2.5685462490829067</v>
      </c>
      <c r="J663" s="302">
        <f t="shared" si="290"/>
        <v>99.024420020623097</v>
      </c>
      <c r="K663" s="303"/>
      <c r="L663" s="302">
        <v>64.81804406701086</v>
      </c>
      <c r="M663" s="302">
        <v>31.591945373128944</v>
      </c>
      <c r="N663" s="302">
        <v>2.850301016980433</v>
      </c>
      <c r="O663" s="302">
        <f t="shared" si="289"/>
        <v>99.260290457120249</v>
      </c>
    </row>
    <row r="664" spans="1:15" s="236" customFormat="1" x14ac:dyDescent="0.3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3">
      <c r="A665" s="244" t="s">
        <v>32</v>
      </c>
      <c r="B665" s="311">
        <f>SUM(B655:B663)</f>
        <v>174.17200000097728</v>
      </c>
      <c r="C665" s="311">
        <f t="shared" ref="C665:E665" si="291">SUM(C655:C663)</f>
        <v>60.130000001297489</v>
      </c>
      <c r="D665" s="311">
        <f t="shared" si="291"/>
        <v>13.633000000168487</v>
      </c>
      <c r="E665" s="311">
        <f t="shared" si="291"/>
        <v>247.93500000244325</v>
      </c>
      <c r="F665" s="311"/>
      <c r="G665" s="311">
        <f t="shared" ref="G665:J665" si="292">SUM(G655:G663)</f>
        <v>186.12299999914626</v>
      </c>
      <c r="H665" s="311">
        <f t="shared" si="292"/>
        <v>78.841000001218532</v>
      </c>
      <c r="I665" s="311">
        <f t="shared" si="292"/>
        <v>18.025000000012913</v>
      </c>
      <c r="J665" s="311">
        <f t="shared" si="292"/>
        <v>282.9890000003777</v>
      </c>
      <c r="K665" s="311"/>
      <c r="L665" s="311">
        <f t="shared" ref="L665:O665" si="293">SUM(L655:L663)</f>
        <v>201.68299999915877</v>
      </c>
      <c r="M665" s="311">
        <f t="shared" si="293"/>
        <v>91.978999999333467</v>
      </c>
      <c r="N665" s="311">
        <f t="shared" si="293"/>
        <v>16.664000000226089</v>
      </c>
      <c r="O665" s="311">
        <f t="shared" si="293"/>
        <v>310.32599999871832</v>
      </c>
    </row>
    <row r="666" spans="1:15" s="236" customFormat="1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3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3">
      <c r="A669" s="241" t="str">
        <f>name!A42</f>
        <v>Accommodation</v>
      </c>
      <c r="B669" s="375">
        <f>$B$6</f>
        <v>2015</v>
      </c>
      <c r="C669" s="375"/>
      <c r="D669" s="375"/>
      <c r="E669" s="375"/>
      <c r="F669" s="263"/>
      <c r="G669" s="375">
        <f>$G$6</f>
        <v>2020</v>
      </c>
      <c r="H669" s="375"/>
      <c r="I669" s="375"/>
      <c r="J669" s="375"/>
      <c r="K669" s="263"/>
      <c r="L669" s="375">
        <f>$L$6</f>
        <v>2035</v>
      </c>
      <c r="M669" s="375"/>
      <c r="N669" s="375"/>
      <c r="O669" s="375"/>
    </row>
    <row r="670" spans="1:15" s="236" customFormat="1" x14ac:dyDescent="0.3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3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3">
      <c r="A672" s="237" t="str">
        <f>name!E$4</f>
        <v>Managers, directors and senior officials</v>
      </c>
      <c r="B672" s="302">
        <v>34.506784820598561</v>
      </c>
      <c r="C672" s="302">
        <v>2.4530830586395487</v>
      </c>
      <c r="D672" s="302">
        <v>17.288400204292987</v>
      </c>
      <c r="E672" s="302">
        <f>SUM(B672:D672)</f>
        <v>54.248268083531102</v>
      </c>
      <c r="F672" s="303"/>
      <c r="G672" s="302">
        <v>35.193471530055952</v>
      </c>
      <c r="H672" s="302">
        <v>4.9400892862787495</v>
      </c>
      <c r="I672" s="302">
        <v>20.776832074102362</v>
      </c>
      <c r="J672" s="302">
        <f>SUM(G672:I672)</f>
        <v>60.910392890437066</v>
      </c>
      <c r="K672" s="303"/>
      <c r="L672" s="302">
        <v>46.427283223444121</v>
      </c>
      <c r="M672" s="302">
        <v>8.8540647731830511</v>
      </c>
      <c r="N672" s="302">
        <v>27.39866790639924</v>
      </c>
      <c r="O672" s="302">
        <f>SUM(L672:N672)</f>
        <v>82.680015903026415</v>
      </c>
    </row>
    <row r="673" spans="1:15" s="236" customFormat="1" x14ac:dyDescent="0.3">
      <c r="A673" s="237" t="str">
        <f>name!E$5</f>
        <v>Professional occupations</v>
      </c>
      <c r="B673" s="302">
        <v>10.941582440482229</v>
      </c>
      <c r="C673" s="302">
        <v>0.95612722274133188</v>
      </c>
      <c r="D673" s="302">
        <v>1.1758661547194194</v>
      </c>
      <c r="E673" s="302">
        <f t="shared" ref="E673:E680" si="294">SUM(B673:D673)</f>
        <v>13.073575817942979</v>
      </c>
      <c r="F673" s="303"/>
      <c r="G673" s="302">
        <v>13.349669782456422</v>
      </c>
      <c r="H673" s="302">
        <v>2.0291830978788181</v>
      </c>
      <c r="I673" s="302">
        <v>1.4579402821203713</v>
      </c>
      <c r="J673" s="302">
        <f t="shared" ref="J673:J675" si="295">SUM(G673:I673)</f>
        <v>16.83679316245561</v>
      </c>
      <c r="K673" s="303"/>
      <c r="L673" s="302">
        <v>16.605103068288088</v>
      </c>
      <c r="M673" s="302">
        <v>3.0999977017136451</v>
      </c>
      <c r="N673" s="302">
        <v>0.93601185380421559</v>
      </c>
      <c r="O673" s="302">
        <f t="shared" ref="O673:O680" si="296">SUM(L673:N673)</f>
        <v>20.641112623805949</v>
      </c>
    </row>
    <row r="674" spans="1:15" s="236" customFormat="1" x14ac:dyDescent="0.3">
      <c r="A674" s="237" t="str">
        <f>name!E$6</f>
        <v>Associate professional occupations</v>
      </c>
      <c r="B674" s="302">
        <v>9.5551656238477385</v>
      </c>
      <c r="C674" s="302">
        <v>2.6095121536305168</v>
      </c>
      <c r="D674" s="302">
        <v>0.81955493386909195</v>
      </c>
      <c r="E674" s="302">
        <f t="shared" si="294"/>
        <v>12.984232711347348</v>
      </c>
      <c r="F674" s="303"/>
      <c r="G674" s="302">
        <v>10.701085836556155</v>
      </c>
      <c r="H674" s="302">
        <v>4.1556799499690102</v>
      </c>
      <c r="I674" s="302">
        <v>0.81725481754690366</v>
      </c>
      <c r="J674" s="302">
        <f t="shared" si="295"/>
        <v>15.674020604072069</v>
      </c>
      <c r="K674" s="303"/>
      <c r="L674" s="302">
        <v>12.442093110138732</v>
      </c>
      <c r="M674" s="302">
        <v>6.1427562949095975</v>
      </c>
      <c r="N674" s="302">
        <v>0.67594727638690555</v>
      </c>
      <c r="O674" s="302">
        <f t="shared" si="296"/>
        <v>19.260796681435238</v>
      </c>
    </row>
    <row r="675" spans="1:15" s="236" customFormat="1" x14ac:dyDescent="0.3">
      <c r="A675" s="237" t="str">
        <f>name!E$7</f>
        <v>Administrative and secretarial occupations</v>
      </c>
      <c r="B675" s="302">
        <v>16.156968611369308</v>
      </c>
      <c r="C675" s="302">
        <v>4.3508268260697349</v>
      </c>
      <c r="D675" s="302">
        <v>0.37347547070041193</v>
      </c>
      <c r="E675" s="302">
        <f t="shared" si="294"/>
        <v>20.881270908139456</v>
      </c>
      <c r="F675" s="303"/>
      <c r="G675" s="302">
        <v>14.617617433699884</v>
      </c>
      <c r="H675" s="302">
        <v>6.3363448810194845</v>
      </c>
      <c r="I675" s="302">
        <v>0.39230059481597912</v>
      </c>
      <c r="J675" s="302">
        <f t="shared" si="295"/>
        <v>21.346262909535348</v>
      </c>
      <c r="K675" s="303"/>
      <c r="L675" s="302">
        <v>17.806122841314487</v>
      </c>
      <c r="M675" s="302">
        <v>9.083689443260857</v>
      </c>
      <c r="N675" s="302">
        <v>0.35615252755951959</v>
      </c>
      <c r="O675" s="302">
        <f t="shared" si="296"/>
        <v>27.245964812134861</v>
      </c>
    </row>
    <row r="676" spans="1:15" s="236" customFormat="1" x14ac:dyDescent="0.3">
      <c r="A676" s="237" t="str">
        <f>name!E$8</f>
        <v>Skilled trades occupations</v>
      </c>
      <c r="B676" s="302">
        <v>47.43034312223331</v>
      </c>
      <c r="C676" s="302">
        <v>10.685966343496498</v>
      </c>
      <c r="D676" s="302">
        <v>5.418606765231492</v>
      </c>
      <c r="E676" s="302">
        <f t="shared" si="294"/>
        <v>63.534916230961301</v>
      </c>
      <c r="F676" s="303"/>
      <c r="G676" s="302">
        <v>35.4754648393995</v>
      </c>
      <c r="H676" s="302">
        <v>11.704784426586476</v>
      </c>
      <c r="I676" s="302">
        <v>6.8256376225478288</v>
      </c>
      <c r="J676" s="302">
        <f>SUM(G676:I676)</f>
        <v>54.005886888533809</v>
      </c>
      <c r="K676" s="303"/>
      <c r="L676" s="302">
        <v>33.65888081553625</v>
      </c>
      <c r="M676" s="302">
        <v>12.825574260642657</v>
      </c>
      <c r="N676" s="302">
        <v>8.4247816534600144</v>
      </c>
      <c r="O676" s="302">
        <f t="shared" si="296"/>
        <v>54.90923672963892</v>
      </c>
    </row>
    <row r="677" spans="1:15" s="236" customFormat="1" x14ac:dyDescent="0.3">
      <c r="A677" s="237" t="str">
        <f>name!E$9</f>
        <v>Caring, leisure and other service occupations</v>
      </c>
      <c r="B677" s="302">
        <v>11.792135423227156</v>
      </c>
      <c r="C677" s="302">
        <v>6.012953862753605</v>
      </c>
      <c r="D677" s="302">
        <v>1.4714133803016771</v>
      </c>
      <c r="E677" s="302">
        <f t="shared" si="294"/>
        <v>19.27650266628244</v>
      </c>
      <c r="F677" s="303"/>
      <c r="G677" s="302">
        <v>9.8173380461687518</v>
      </c>
      <c r="H677" s="302">
        <v>7.2593192428371944</v>
      </c>
      <c r="I677" s="302">
        <v>2.0144140591696855</v>
      </c>
      <c r="J677" s="302">
        <f t="shared" ref="J677:J680" si="297">SUM(G677:I677)</f>
        <v>19.091071348175632</v>
      </c>
      <c r="K677" s="303"/>
      <c r="L677" s="302">
        <v>11.768587508503382</v>
      </c>
      <c r="M677" s="302">
        <v>9.277707375590623</v>
      </c>
      <c r="N677" s="302">
        <v>3.3160484192648036</v>
      </c>
      <c r="O677" s="302">
        <f t="shared" si="296"/>
        <v>24.362343303358806</v>
      </c>
    </row>
    <row r="678" spans="1:15" s="236" customFormat="1" x14ac:dyDescent="0.3">
      <c r="A678" s="237" t="str">
        <f>name!E$10</f>
        <v>Sales and customer service occupations</v>
      </c>
      <c r="B678" s="302">
        <v>10.172355782060137</v>
      </c>
      <c r="C678" s="302">
        <v>12.454662731157468</v>
      </c>
      <c r="D678" s="302">
        <v>6.4104996343962561</v>
      </c>
      <c r="E678" s="302">
        <f t="shared" si="294"/>
        <v>29.037518147613863</v>
      </c>
      <c r="F678" s="303"/>
      <c r="G678" s="302">
        <v>8.9137658467368013</v>
      </c>
      <c r="H678" s="302">
        <v>17.174465474025517</v>
      </c>
      <c r="I678" s="302">
        <v>5.4686171535449146</v>
      </c>
      <c r="J678" s="302">
        <f t="shared" si="297"/>
        <v>31.556848474307234</v>
      </c>
      <c r="K678" s="303"/>
      <c r="L678" s="302">
        <v>11.334192676259512</v>
      </c>
      <c r="M678" s="302">
        <v>25.37449806802433</v>
      </c>
      <c r="N678" s="302">
        <v>4.5467927425663239</v>
      </c>
      <c r="O678" s="302">
        <f t="shared" si="296"/>
        <v>41.255483486850167</v>
      </c>
    </row>
    <row r="679" spans="1:15" s="236" customFormat="1" x14ac:dyDescent="0.3">
      <c r="A679" s="237" t="str">
        <f>name!E$11</f>
        <v>Process, plant and machine operatives</v>
      </c>
      <c r="B679" s="302">
        <v>5.3354832971881843</v>
      </c>
      <c r="C679" s="302">
        <v>4.0179344903999743</v>
      </c>
      <c r="D679" s="302">
        <v>0.43998279044229222</v>
      </c>
      <c r="E679" s="302">
        <f t="shared" si="294"/>
        <v>9.7934005780304503</v>
      </c>
      <c r="F679" s="303"/>
      <c r="G679" s="302">
        <v>3.8486639510157294</v>
      </c>
      <c r="H679" s="302">
        <v>5.9050305439731003</v>
      </c>
      <c r="I679" s="302">
        <v>0.61349866712957479</v>
      </c>
      <c r="J679" s="302">
        <f t="shared" si="297"/>
        <v>10.367193162118404</v>
      </c>
      <c r="K679" s="303"/>
      <c r="L679" s="302">
        <v>4.4445368854988123</v>
      </c>
      <c r="M679" s="302">
        <v>10.734396548866165</v>
      </c>
      <c r="N679" s="302">
        <v>0.90944990087750732</v>
      </c>
      <c r="O679" s="302">
        <f t="shared" si="296"/>
        <v>16.088383335242487</v>
      </c>
    </row>
    <row r="680" spans="1:15" s="236" customFormat="1" x14ac:dyDescent="0.3">
      <c r="A680" s="237" t="str">
        <f>name!E$12</f>
        <v>Elementary occupations</v>
      </c>
      <c r="B680" s="302">
        <v>66.982180879688158</v>
      </c>
      <c r="C680" s="302">
        <v>96.639933314831865</v>
      </c>
      <c r="D680" s="302">
        <v>1.6052006668281906</v>
      </c>
      <c r="E680" s="302">
        <f t="shared" si="294"/>
        <v>165.22731486134819</v>
      </c>
      <c r="F680" s="303"/>
      <c r="G680" s="302">
        <v>55.616922732826495</v>
      </c>
      <c r="H680" s="302">
        <v>113.16410310057246</v>
      </c>
      <c r="I680" s="302">
        <v>1.7315047287253496</v>
      </c>
      <c r="J680" s="302">
        <f t="shared" si="297"/>
        <v>170.51253056212431</v>
      </c>
      <c r="K680" s="303"/>
      <c r="L680" s="302">
        <v>65.382199870065222</v>
      </c>
      <c r="M680" s="302">
        <v>132.15631553230671</v>
      </c>
      <c r="N680" s="302">
        <v>3.1391477196912576</v>
      </c>
      <c r="O680" s="302">
        <f t="shared" si="296"/>
        <v>200.67766312206319</v>
      </c>
    </row>
    <row r="681" spans="1:15" s="236" customFormat="1" x14ac:dyDescent="0.3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3">
      <c r="A682" s="244" t="s">
        <v>32</v>
      </c>
      <c r="B682" s="311">
        <f>SUM(B672:B680)</f>
        <v>212.87300000069479</v>
      </c>
      <c r="C682" s="311">
        <f t="shared" ref="C682:E682" si="298">SUM(C672:C680)</f>
        <v>140.18100000372056</v>
      </c>
      <c r="D682" s="311">
        <f t="shared" si="298"/>
        <v>35.003000000781817</v>
      </c>
      <c r="E682" s="311">
        <f t="shared" si="298"/>
        <v>388.05700000519715</v>
      </c>
      <c r="F682" s="311"/>
      <c r="G682" s="311">
        <f t="shared" ref="G682:J682" si="299">SUM(G672:G680)</f>
        <v>187.5339999989157</v>
      </c>
      <c r="H682" s="311">
        <f t="shared" si="299"/>
        <v>172.66900000314081</v>
      </c>
      <c r="I682" s="311">
        <f t="shared" si="299"/>
        <v>40.097999999702971</v>
      </c>
      <c r="J682" s="311">
        <f t="shared" si="299"/>
        <v>400.30100000175946</v>
      </c>
      <c r="K682" s="311"/>
      <c r="L682" s="311">
        <f t="shared" ref="L682:O682" si="300">SUM(L672:L680)</f>
        <v>219.86899999904861</v>
      </c>
      <c r="M682" s="311">
        <f t="shared" si="300"/>
        <v>217.54899999849764</v>
      </c>
      <c r="N682" s="311">
        <f t="shared" si="300"/>
        <v>49.703000000009787</v>
      </c>
      <c r="O682" s="311">
        <f t="shared" si="300"/>
        <v>487.12099999755605</v>
      </c>
    </row>
    <row r="683" spans="1:15" s="236" customFormat="1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3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3">
      <c r="A686" s="241" t="str">
        <f>name!A43</f>
        <v>Food and beverage services</v>
      </c>
      <c r="B686" s="375">
        <f>$B$6</f>
        <v>2015</v>
      </c>
      <c r="C686" s="375"/>
      <c r="D686" s="375"/>
      <c r="E686" s="375"/>
      <c r="F686" s="263"/>
      <c r="G686" s="375">
        <f>$G$6</f>
        <v>2020</v>
      </c>
      <c r="H686" s="375"/>
      <c r="I686" s="375"/>
      <c r="J686" s="375"/>
      <c r="K686" s="263"/>
      <c r="L686" s="375">
        <f>$L$6</f>
        <v>2035</v>
      </c>
      <c r="M686" s="375"/>
      <c r="N686" s="375"/>
      <c r="O686" s="375"/>
    </row>
    <row r="687" spans="1:15" s="236" customFormat="1" x14ac:dyDescent="0.3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3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3">
      <c r="A689" s="237" t="str">
        <f>name!E$4</f>
        <v>Managers, directors and senior officials</v>
      </c>
      <c r="B689" s="302">
        <v>95.251767713479438</v>
      </c>
      <c r="C689" s="302">
        <v>14.828382359139848</v>
      </c>
      <c r="D689" s="302">
        <v>40.556504825202154</v>
      </c>
      <c r="E689" s="302">
        <f>SUM(B689:D689)</f>
        <v>150.63665489782144</v>
      </c>
      <c r="F689" s="303"/>
      <c r="G689" s="302">
        <v>121.58061949520034</v>
      </c>
      <c r="H689" s="302">
        <v>27.239419207653651</v>
      </c>
      <c r="I689" s="302">
        <v>35.383074540239392</v>
      </c>
      <c r="J689" s="302">
        <f>SUM(G689:I689)</f>
        <v>184.20311324309338</v>
      </c>
      <c r="K689" s="303"/>
      <c r="L689" s="302">
        <v>169.82553160823312</v>
      </c>
      <c r="M689" s="302">
        <v>46.485094549234852</v>
      </c>
      <c r="N689" s="302">
        <v>45.990439895545229</v>
      </c>
      <c r="O689" s="302">
        <f>SUM(L689:N689)</f>
        <v>262.30106605301319</v>
      </c>
    </row>
    <row r="690" spans="1:15" s="236" customFormat="1" x14ac:dyDescent="0.3">
      <c r="A690" s="237" t="str">
        <f>name!E$5</f>
        <v>Professional occupations</v>
      </c>
      <c r="B690" s="302">
        <v>29.748911855108673</v>
      </c>
      <c r="C690" s="302">
        <v>5.4162213784762079</v>
      </c>
      <c r="D690" s="302">
        <v>3.0109070308407402</v>
      </c>
      <c r="E690" s="302">
        <f t="shared" ref="E690:E697" si="301">SUM(B690:D690)</f>
        <v>38.176040264425623</v>
      </c>
      <c r="F690" s="303"/>
      <c r="G690" s="302">
        <v>45.508632999439591</v>
      </c>
      <c r="H690" s="302">
        <v>10.885796170426735</v>
      </c>
      <c r="I690" s="302">
        <v>2.5518666627481612</v>
      </c>
      <c r="J690" s="302">
        <f t="shared" ref="J690:J692" si="302">SUM(G690:I690)</f>
        <v>58.946295832614489</v>
      </c>
      <c r="K690" s="303"/>
      <c r="L690" s="302">
        <v>59.950130098441036</v>
      </c>
      <c r="M690" s="302">
        <v>15.375392071841167</v>
      </c>
      <c r="N690" s="302">
        <v>1.6650763566909661</v>
      </c>
      <c r="O690" s="302">
        <f t="shared" ref="O690:O697" si="303">SUM(L690:N690)</f>
        <v>76.990598526973159</v>
      </c>
    </row>
    <row r="691" spans="1:15" s="236" customFormat="1" x14ac:dyDescent="0.3">
      <c r="A691" s="237" t="str">
        <f>name!E$6</f>
        <v>Associate professional occupations</v>
      </c>
      <c r="B691" s="302">
        <v>25.974025657989749</v>
      </c>
      <c r="C691" s="302">
        <v>14.868477728538371</v>
      </c>
      <c r="D691" s="302">
        <v>1.8510866804039798</v>
      </c>
      <c r="E691" s="302">
        <f t="shared" si="301"/>
        <v>42.693590066932103</v>
      </c>
      <c r="F691" s="303"/>
      <c r="G691" s="302">
        <v>35.9157035722925</v>
      </c>
      <c r="H691" s="302">
        <v>21.96842907979255</v>
      </c>
      <c r="I691" s="302">
        <v>1.394211012766275</v>
      </c>
      <c r="J691" s="302">
        <f t="shared" si="302"/>
        <v>59.278343664851327</v>
      </c>
      <c r="K691" s="303"/>
      <c r="L691" s="302">
        <v>43.894510335318223</v>
      </c>
      <c r="M691" s="302">
        <v>30.152353762873542</v>
      </c>
      <c r="N691" s="302">
        <v>1.1193958526279797</v>
      </c>
      <c r="O691" s="302">
        <f t="shared" si="303"/>
        <v>75.166259950819736</v>
      </c>
    </row>
    <row r="692" spans="1:15" s="236" customFormat="1" x14ac:dyDescent="0.3">
      <c r="A692" s="237" t="str">
        <f>name!E$7</f>
        <v>Administrative and secretarial occupations</v>
      </c>
      <c r="B692" s="302">
        <v>41.974119647405693</v>
      </c>
      <c r="C692" s="302">
        <v>22.149419410520494</v>
      </c>
      <c r="D692" s="302">
        <v>0.83471019271935976</v>
      </c>
      <c r="E692" s="302">
        <f t="shared" si="301"/>
        <v>64.958249250645551</v>
      </c>
      <c r="F692" s="303"/>
      <c r="G692" s="302">
        <v>47.999515501308544</v>
      </c>
      <c r="H692" s="302">
        <v>30.281092910773491</v>
      </c>
      <c r="I692" s="302">
        <v>0.66021632031082622</v>
      </c>
      <c r="J692" s="302">
        <f t="shared" si="302"/>
        <v>78.940824732392855</v>
      </c>
      <c r="K692" s="303"/>
      <c r="L692" s="302">
        <v>61.541362282707368</v>
      </c>
      <c r="M692" s="302">
        <v>38.988752176477476</v>
      </c>
      <c r="N692" s="302">
        <v>0.63486748643687907</v>
      </c>
      <c r="O692" s="302">
        <f t="shared" si="303"/>
        <v>101.16498194562172</v>
      </c>
    </row>
    <row r="693" spans="1:15" s="236" customFormat="1" x14ac:dyDescent="0.3">
      <c r="A693" s="237" t="str">
        <f>name!E$8</f>
        <v>Skilled trades occupations</v>
      </c>
      <c r="B693" s="302">
        <v>143.44810475629495</v>
      </c>
      <c r="C693" s="302">
        <v>69.517991164310445</v>
      </c>
      <c r="D693" s="302">
        <v>12.697891923605166</v>
      </c>
      <c r="E693" s="302">
        <f t="shared" si="301"/>
        <v>225.66398784421057</v>
      </c>
      <c r="F693" s="303"/>
      <c r="G693" s="302">
        <v>119.97311381443066</v>
      </c>
      <c r="H693" s="302">
        <v>67.883068120863044</v>
      </c>
      <c r="I693" s="302">
        <v>11.748639949517134</v>
      </c>
      <c r="J693" s="302">
        <f>SUM(G693:I693)</f>
        <v>199.60482188481083</v>
      </c>
      <c r="K693" s="303"/>
      <c r="L693" s="302">
        <v>118.92395099589311</v>
      </c>
      <c r="M693" s="302">
        <v>70.094325096380203</v>
      </c>
      <c r="N693" s="302">
        <v>13.880588737898604</v>
      </c>
      <c r="O693" s="302">
        <f t="shared" si="303"/>
        <v>202.8988648301719</v>
      </c>
    </row>
    <row r="694" spans="1:15" s="236" customFormat="1" x14ac:dyDescent="0.3">
      <c r="A694" s="237" t="str">
        <f>name!E$9</f>
        <v>Caring, leisure and other service occupations</v>
      </c>
      <c r="B694" s="302">
        <v>30.610905098962775</v>
      </c>
      <c r="C694" s="302">
        <v>31.453864471033491</v>
      </c>
      <c r="D694" s="302">
        <v>2.7495105127075452</v>
      </c>
      <c r="E694" s="302">
        <f t="shared" si="301"/>
        <v>64.814280082703817</v>
      </c>
      <c r="F694" s="303"/>
      <c r="G694" s="302">
        <v>32.880635812893566</v>
      </c>
      <c r="H694" s="302">
        <v>36.373144029918258</v>
      </c>
      <c r="I694" s="302">
        <v>3.2871262743857268</v>
      </c>
      <c r="J694" s="302">
        <f t="shared" ref="J694:J697" si="304">SUM(G694:I694)</f>
        <v>72.540906117197551</v>
      </c>
      <c r="K694" s="303"/>
      <c r="L694" s="302">
        <v>40.792418096555352</v>
      </c>
      <c r="M694" s="302">
        <v>42.745359266756218</v>
      </c>
      <c r="N694" s="302">
        <v>5.2914398734364241</v>
      </c>
      <c r="O694" s="302">
        <f t="shared" si="303"/>
        <v>88.829217236747979</v>
      </c>
    </row>
    <row r="695" spans="1:15" s="236" customFormat="1" x14ac:dyDescent="0.3">
      <c r="A695" s="237" t="str">
        <f>name!E$10</f>
        <v>Sales and customer service occupations</v>
      </c>
      <c r="B695" s="302">
        <v>27.278938883578832</v>
      </c>
      <c r="C695" s="302">
        <v>70.277956205611844</v>
      </c>
      <c r="D695" s="302">
        <v>15.329088628042529</v>
      </c>
      <c r="E695" s="302">
        <f t="shared" si="301"/>
        <v>112.8859837172332</v>
      </c>
      <c r="F695" s="303"/>
      <c r="G695" s="302">
        <v>30.166534951328526</v>
      </c>
      <c r="H695" s="302">
        <v>89.838214111352457</v>
      </c>
      <c r="I695" s="302">
        <v>9.5068496984765076</v>
      </c>
      <c r="J695" s="302">
        <f t="shared" si="304"/>
        <v>129.5115987611575</v>
      </c>
      <c r="K695" s="303"/>
      <c r="L695" s="302">
        <v>40.534363460669894</v>
      </c>
      <c r="M695" s="302">
        <v>117.26172980859239</v>
      </c>
      <c r="N695" s="302">
        <v>7.8324580797773056</v>
      </c>
      <c r="O695" s="302">
        <f t="shared" si="303"/>
        <v>165.62855134903958</v>
      </c>
    </row>
    <row r="696" spans="1:15" s="236" customFormat="1" x14ac:dyDescent="0.3">
      <c r="A696" s="237" t="str">
        <f>name!E$11</f>
        <v>Process, plant and machine operatives</v>
      </c>
      <c r="B696" s="302">
        <v>15.650250472644654</v>
      </c>
      <c r="C696" s="302">
        <v>28.308975356180024</v>
      </c>
      <c r="D696" s="302">
        <v>1.5410878503161205</v>
      </c>
      <c r="E696" s="302">
        <f t="shared" si="301"/>
        <v>45.500313679140795</v>
      </c>
      <c r="F696" s="303"/>
      <c r="G696" s="302">
        <v>13.703303406634426</v>
      </c>
      <c r="H696" s="302">
        <v>37.260316902498019</v>
      </c>
      <c r="I696" s="302">
        <v>1.1691283277555318</v>
      </c>
      <c r="J696" s="302">
        <f t="shared" si="304"/>
        <v>52.132748636887975</v>
      </c>
      <c r="K696" s="303"/>
      <c r="L696" s="302">
        <v>16.881365719968517</v>
      </c>
      <c r="M696" s="302">
        <v>61.593768100179759</v>
      </c>
      <c r="N696" s="302">
        <v>1.6658202699734301</v>
      </c>
      <c r="O696" s="302">
        <f t="shared" si="303"/>
        <v>80.140954090121696</v>
      </c>
    </row>
    <row r="697" spans="1:15" s="236" customFormat="1" x14ac:dyDescent="0.3">
      <c r="A697" s="237" t="str">
        <f>name!E$12</f>
        <v>Elementary occupations</v>
      </c>
      <c r="B697" s="302">
        <v>192.1999759171828</v>
      </c>
      <c r="C697" s="302">
        <v>552.69471194801019</v>
      </c>
      <c r="D697" s="302">
        <v>5.1182123579865362</v>
      </c>
      <c r="E697" s="302">
        <f t="shared" si="301"/>
        <v>750.01290022317949</v>
      </c>
      <c r="F697" s="303"/>
      <c r="G697" s="302">
        <v>191.73594044277601</v>
      </c>
      <c r="H697" s="302">
        <v>605.9195194788839</v>
      </c>
      <c r="I697" s="302">
        <v>2.9838872133319989</v>
      </c>
      <c r="J697" s="302">
        <f t="shared" si="304"/>
        <v>800.63934713499191</v>
      </c>
      <c r="K697" s="303"/>
      <c r="L697" s="302">
        <v>233.09236739927047</v>
      </c>
      <c r="M697" s="302">
        <v>662.90622516149426</v>
      </c>
      <c r="N697" s="302">
        <v>5.1199134477369466</v>
      </c>
      <c r="O697" s="302">
        <f t="shared" si="303"/>
        <v>901.11850600850175</v>
      </c>
    </row>
    <row r="698" spans="1:15" s="236" customFormat="1" x14ac:dyDescent="0.3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3">
      <c r="A699" s="244" t="s">
        <v>32</v>
      </c>
      <c r="B699" s="311">
        <f>SUM(B689:B697)</f>
        <v>602.13700000264748</v>
      </c>
      <c r="C699" s="311">
        <f t="shared" ref="C699:E699" si="305">SUM(C689:C697)</f>
        <v>809.5160000218209</v>
      </c>
      <c r="D699" s="311">
        <f t="shared" si="305"/>
        <v>83.689000001824127</v>
      </c>
      <c r="E699" s="311">
        <f t="shared" si="305"/>
        <v>1495.3420000262927</v>
      </c>
      <c r="F699" s="311"/>
      <c r="G699" s="311">
        <f t="shared" ref="G699:J699" si="306">SUM(G689:G697)</f>
        <v>639.4639999963041</v>
      </c>
      <c r="H699" s="311">
        <f t="shared" si="306"/>
        <v>927.64900001216211</v>
      </c>
      <c r="I699" s="311">
        <f t="shared" si="306"/>
        <v>68.684999999531541</v>
      </c>
      <c r="J699" s="311">
        <f t="shared" si="306"/>
        <v>1635.7980000079979</v>
      </c>
      <c r="K699" s="311"/>
      <c r="L699" s="311">
        <f t="shared" ref="L699:O699" si="307">SUM(L689:L697)</f>
        <v>785.43599999705702</v>
      </c>
      <c r="M699" s="311">
        <f t="shared" si="307"/>
        <v>1085.6029999938298</v>
      </c>
      <c r="N699" s="311">
        <f t="shared" si="307"/>
        <v>83.200000000123779</v>
      </c>
      <c r="O699" s="311">
        <f t="shared" si="307"/>
        <v>1954.2389999910106</v>
      </c>
    </row>
    <row r="700" spans="1:15" s="236" customFormat="1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3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3">
      <c r="A703" s="241" t="str">
        <f>name!A44</f>
        <v>Publishing activities</v>
      </c>
      <c r="B703" s="375">
        <f>$B$6</f>
        <v>2015</v>
      </c>
      <c r="C703" s="375"/>
      <c r="D703" s="375"/>
      <c r="E703" s="375"/>
      <c r="F703" s="263"/>
      <c r="G703" s="375">
        <f>$G$6</f>
        <v>2020</v>
      </c>
      <c r="H703" s="375"/>
      <c r="I703" s="375"/>
      <c r="J703" s="375"/>
      <c r="K703" s="263"/>
      <c r="L703" s="375">
        <f>$L$6</f>
        <v>2035</v>
      </c>
      <c r="M703" s="375"/>
      <c r="N703" s="375"/>
      <c r="O703" s="375"/>
    </row>
    <row r="704" spans="1:15" s="236" customFormat="1" x14ac:dyDescent="0.3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3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3">
      <c r="A706" s="237" t="str">
        <f>name!E$4</f>
        <v>Managers, directors and senior officials</v>
      </c>
      <c r="B706" s="302">
        <v>17.712925324523411</v>
      </c>
      <c r="C706" s="302">
        <v>2.4844220913098152</v>
      </c>
      <c r="D706" s="302">
        <v>7.7142390842225179</v>
      </c>
      <c r="E706" s="302">
        <f>SUM(B706:D706)</f>
        <v>27.911586500055748</v>
      </c>
      <c r="F706" s="303"/>
      <c r="G706" s="302">
        <v>16.955141061826236</v>
      </c>
      <c r="H706" s="302">
        <v>2.5478024133301989</v>
      </c>
      <c r="I706" s="302">
        <v>7.0066012209685322</v>
      </c>
      <c r="J706" s="302">
        <f>SUM(G706:I706)</f>
        <v>26.509544696124969</v>
      </c>
      <c r="K706" s="303"/>
      <c r="L706" s="302">
        <v>17.077843110066439</v>
      </c>
      <c r="M706" s="302">
        <v>3.1555808042525912</v>
      </c>
      <c r="N706" s="302">
        <v>7.8277675836370202</v>
      </c>
      <c r="O706" s="302">
        <f>SUM(L706:N706)</f>
        <v>28.061191497956049</v>
      </c>
    </row>
    <row r="707" spans="1:15" s="236" customFormat="1" x14ac:dyDescent="0.3">
      <c r="A707" s="237" t="str">
        <f>name!E$5</f>
        <v>Professional occupations</v>
      </c>
      <c r="B707" s="302">
        <v>28.783979320336396</v>
      </c>
      <c r="C707" s="302">
        <v>3.4217196326758694</v>
      </c>
      <c r="D707" s="302">
        <v>9.8453417949732227</v>
      </c>
      <c r="E707" s="302">
        <f t="shared" ref="E707:E714" si="308">SUM(B707:D707)</f>
        <v>42.051040747985489</v>
      </c>
      <c r="F707" s="303"/>
      <c r="G707" s="302">
        <v>31.90068890995963</v>
      </c>
      <c r="H707" s="302">
        <v>3.530744321718247</v>
      </c>
      <c r="I707" s="302">
        <v>7.9140342074069414</v>
      </c>
      <c r="J707" s="302">
        <f t="shared" ref="J707:J709" si="309">SUM(G707:I707)</f>
        <v>43.345467439084821</v>
      </c>
      <c r="K707" s="303"/>
      <c r="L707" s="302">
        <v>37.194716180314238</v>
      </c>
      <c r="M707" s="302">
        <v>4.8572326997170343</v>
      </c>
      <c r="N707" s="302">
        <v>6.2522663175117206</v>
      </c>
      <c r="O707" s="302">
        <f t="shared" ref="O707:O714" si="310">SUM(L707:N707)</f>
        <v>48.304215197542995</v>
      </c>
    </row>
    <row r="708" spans="1:15" s="236" customFormat="1" x14ac:dyDescent="0.3">
      <c r="A708" s="237" t="str">
        <f>name!E$6</f>
        <v>Associate professional occupations</v>
      </c>
      <c r="B708" s="302">
        <v>23.216590910062628</v>
      </c>
      <c r="C708" s="302">
        <v>5.2446270463749531</v>
      </c>
      <c r="D708" s="302">
        <v>16.707566049745466</v>
      </c>
      <c r="E708" s="302">
        <f t="shared" si="308"/>
        <v>45.168784006183046</v>
      </c>
      <c r="F708" s="303"/>
      <c r="G708" s="302">
        <v>23.689274373111875</v>
      </c>
      <c r="H708" s="302">
        <v>4.1992750723820187</v>
      </c>
      <c r="I708" s="302">
        <v>16.161304047237088</v>
      </c>
      <c r="J708" s="302">
        <f t="shared" si="309"/>
        <v>44.049853492730982</v>
      </c>
      <c r="K708" s="303"/>
      <c r="L708" s="302">
        <v>24.050118773846467</v>
      </c>
      <c r="M708" s="302">
        <v>4.2990022110299417</v>
      </c>
      <c r="N708" s="302">
        <v>15.893286890612217</v>
      </c>
      <c r="O708" s="302">
        <f t="shared" si="310"/>
        <v>44.242407875488624</v>
      </c>
    </row>
    <row r="709" spans="1:15" s="236" customFormat="1" x14ac:dyDescent="0.3">
      <c r="A709" s="237" t="str">
        <f>name!E$7</f>
        <v>Administrative and secretarial occupations</v>
      </c>
      <c r="B709" s="302">
        <v>6.692598440121631</v>
      </c>
      <c r="C709" s="302">
        <v>4.4196128373162988</v>
      </c>
      <c r="D709" s="302">
        <v>1.2739475392366726</v>
      </c>
      <c r="E709" s="302">
        <f t="shared" si="308"/>
        <v>12.386158816674602</v>
      </c>
      <c r="F709" s="303"/>
      <c r="G709" s="302">
        <v>5.7218111974274253</v>
      </c>
      <c r="H709" s="302">
        <v>2.770351548719177</v>
      </c>
      <c r="I709" s="302">
        <v>1.0834061744731653</v>
      </c>
      <c r="J709" s="302">
        <f t="shared" si="309"/>
        <v>9.5755689206197676</v>
      </c>
      <c r="K709" s="303"/>
      <c r="L709" s="302">
        <v>3.9023745665303031</v>
      </c>
      <c r="M709" s="302">
        <v>2.0671741173289009</v>
      </c>
      <c r="N709" s="302">
        <v>0.7630027172714664</v>
      </c>
      <c r="O709" s="302">
        <f t="shared" si="310"/>
        <v>6.73255140113067</v>
      </c>
    </row>
    <row r="710" spans="1:15" s="236" customFormat="1" x14ac:dyDescent="0.3">
      <c r="A710" s="237" t="str">
        <f>name!E$8</f>
        <v>Skilled trades occupations</v>
      </c>
      <c r="B710" s="302">
        <v>8.0906733149105907</v>
      </c>
      <c r="C710" s="302">
        <v>1.6990740097628134</v>
      </c>
      <c r="D710" s="302">
        <v>3.9120792590333799</v>
      </c>
      <c r="E710" s="302">
        <f t="shared" si="308"/>
        <v>13.701826583706785</v>
      </c>
      <c r="F710" s="303"/>
      <c r="G710" s="302">
        <v>5.6744950850465203</v>
      </c>
      <c r="H710" s="302">
        <v>0.75553716877394439</v>
      </c>
      <c r="I710" s="302">
        <v>2.630383769008112</v>
      </c>
      <c r="J710" s="302">
        <f>SUM(G710:I710)</f>
        <v>9.0604160228285764</v>
      </c>
      <c r="K710" s="303"/>
      <c r="L710" s="302">
        <v>3.59664400446069</v>
      </c>
      <c r="M710" s="302">
        <v>0.74056126870181183</v>
      </c>
      <c r="N710" s="302">
        <v>3.1641596288319991</v>
      </c>
      <c r="O710" s="302">
        <f t="shared" si="310"/>
        <v>7.501364901994501</v>
      </c>
    </row>
    <row r="711" spans="1:15" s="236" customFormat="1" x14ac:dyDescent="0.3">
      <c r="A711" s="237" t="str">
        <f>name!E$9</f>
        <v>Caring, leisure and other service occupations</v>
      </c>
      <c r="B711" s="302">
        <v>0.77934130633400078</v>
      </c>
      <c r="C711" s="302">
        <v>0.44424951595551254</v>
      </c>
      <c r="D711" s="302">
        <v>0.41639915751169304</v>
      </c>
      <c r="E711" s="302">
        <f t="shared" si="308"/>
        <v>1.6399899798012063</v>
      </c>
      <c r="F711" s="303"/>
      <c r="G711" s="302">
        <v>0.67255189212636701</v>
      </c>
      <c r="H711" s="302">
        <v>0.3060224048123335</v>
      </c>
      <c r="I711" s="302">
        <v>0.49100667693026029</v>
      </c>
      <c r="J711" s="302">
        <f t="shared" ref="J711:J714" si="311">SUM(G711:I711)</f>
        <v>1.4695809738689609</v>
      </c>
      <c r="K711" s="303"/>
      <c r="L711" s="302">
        <v>0.89289308219879138</v>
      </c>
      <c r="M711" s="302">
        <v>0.31005292475912843</v>
      </c>
      <c r="N711" s="302">
        <v>0.51812996127440347</v>
      </c>
      <c r="O711" s="302">
        <f t="shared" si="310"/>
        <v>1.7210759682323233</v>
      </c>
    </row>
    <row r="712" spans="1:15" s="236" customFormat="1" x14ac:dyDescent="0.3">
      <c r="A712" s="237" t="str">
        <f>name!E$10</f>
        <v>Sales and customer service occupations</v>
      </c>
      <c r="B712" s="302">
        <v>3.8226279959415517</v>
      </c>
      <c r="C712" s="302">
        <v>1.6042919070795087</v>
      </c>
      <c r="D712" s="302">
        <v>1.484521114264981</v>
      </c>
      <c r="E712" s="302">
        <f t="shared" si="308"/>
        <v>6.911441017286041</v>
      </c>
      <c r="F712" s="303"/>
      <c r="G712" s="302">
        <v>3.1058061504632986</v>
      </c>
      <c r="H712" s="302">
        <v>0.9976247482034748</v>
      </c>
      <c r="I712" s="302">
        <v>0.98301141167609773</v>
      </c>
      <c r="J712" s="302">
        <f t="shared" si="311"/>
        <v>5.0864423103428713</v>
      </c>
      <c r="K712" s="303"/>
      <c r="L712" s="302">
        <v>3.0058684477283286</v>
      </c>
      <c r="M712" s="302">
        <v>1.1369099639486981</v>
      </c>
      <c r="N712" s="302">
        <v>0.83469536444847703</v>
      </c>
      <c r="O712" s="302">
        <f t="shared" si="310"/>
        <v>4.9774737761255032</v>
      </c>
    </row>
    <row r="713" spans="1:15" s="236" customFormat="1" x14ac:dyDescent="0.3">
      <c r="A713" s="237" t="str">
        <f>name!E$11</f>
        <v>Process, plant and machine operatives</v>
      </c>
      <c r="B713" s="302">
        <v>1.8034030701537644</v>
      </c>
      <c r="C713" s="302">
        <v>1.4927808249447609</v>
      </c>
      <c r="D713" s="302">
        <v>0.98819629543163778</v>
      </c>
      <c r="E713" s="302">
        <f t="shared" si="308"/>
        <v>4.2843801905301628</v>
      </c>
      <c r="F713" s="303"/>
      <c r="G713" s="302">
        <v>1.304847802347805</v>
      </c>
      <c r="H713" s="302">
        <v>0.92277521103997995</v>
      </c>
      <c r="I713" s="302">
        <v>1.0082724861239094</v>
      </c>
      <c r="J713" s="302">
        <f t="shared" si="311"/>
        <v>3.2358954995116944</v>
      </c>
      <c r="K713" s="303"/>
      <c r="L713" s="302">
        <v>1.0372148695711678</v>
      </c>
      <c r="M713" s="302">
        <v>1.0832369504823645</v>
      </c>
      <c r="N713" s="302">
        <v>1.1587012198397366</v>
      </c>
      <c r="O713" s="302">
        <f t="shared" si="310"/>
        <v>3.2791530398932691</v>
      </c>
    </row>
    <row r="714" spans="1:15" s="236" customFormat="1" x14ac:dyDescent="0.3">
      <c r="A714" s="237" t="str">
        <f>name!E$12</f>
        <v>Elementary occupations</v>
      </c>
      <c r="B714" s="302">
        <v>3.4738603164867392</v>
      </c>
      <c r="C714" s="302">
        <v>4.1742221346144941</v>
      </c>
      <c r="D714" s="302">
        <v>1.3527097060756181</v>
      </c>
      <c r="E714" s="302">
        <f t="shared" si="308"/>
        <v>9.0007921571768517</v>
      </c>
      <c r="F714" s="303"/>
      <c r="G714" s="302">
        <v>2.3033835274545935</v>
      </c>
      <c r="H714" s="302">
        <v>2.018867111008646</v>
      </c>
      <c r="I714" s="302">
        <v>1.5959800062709539</v>
      </c>
      <c r="J714" s="302">
        <f t="shared" si="311"/>
        <v>5.9182306447341944</v>
      </c>
      <c r="K714" s="303"/>
      <c r="L714" s="302">
        <v>1.4763269653844089</v>
      </c>
      <c r="M714" s="302">
        <v>1.4842490597413671</v>
      </c>
      <c r="N714" s="302">
        <v>1.5839903175199352</v>
      </c>
      <c r="O714" s="302">
        <f t="shared" si="310"/>
        <v>4.5445663426457106</v>
      </c>
    </row>
    <row r="715" spans="1:15" s="236" customFormat="1" x14ac:dyDescent="0.3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3">
      <c r="A716" s="244" t="s">
        <v>32</v>
      </c>
      <c r="B716" s="311">
        <f>SUM(B706:B714)</f>
        <v>94.375999998870711</v>
      </c>
      <c r="C716" s="311">
        <f t="shared" ref="C716:E716" si="312">SUM(C706:C714)</f>
        <v>24.985000000034027</v>
      </c>
      <c r="D716" s="311">
        <f t="shared" si="312"/>
        <v>43.695000000495185</v>
      </c>
      <c r="E716" s="311">
        <f t="shared" si="312"/>
        <v>163.05599999939992</v>
      </c>
      <c r="F716" s="311"/>
      <c r="G716" s="311">
        <f t="shared" ref="G716:J716" si="313">SUM(G706:G714)</f>
        <v>91.327999999763747</v>
      </c>
      <c r="H716" s="311">
        <f t="shared" si="313"/>
        <v>18.04899999998802</v>
      </c>
      <c r="I716" s="311">
        <f t="shared" si="313"/>
        <v>38.874000000095059</v>
      </c>
      <c r="J716" s="311">
        <f t="shared" si="313"/>
        <v>148.25099999984684</v>
      </c>
      <c r="K716" s="311"/>
      <c r="L716" s="311">
        <f t="shared" ref="L716:O716" si="314">SUM(L706:L714)</f>
        <v>92.234000000100835</v>
      </c>
      <c r="M716" s="311">
        <f t="shared" si="314"/>
        <v>19.133999999961841</v>
      </c>
      <c r="N716" s="311">
        <f t="shared" si="314"/>
        <v>37.996000000946971</v>
      </c>
      <c r="O716" s="311">
        <f t="shared" si="314"/>
        <v>149.36400000100963</v>
      </c>
    </row>
    <row r="717" spans="1:15" s="236" customFormat="1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3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3">
      <c r="A720" s="241" t="str">
        <f>name!A45</f>
        <v>Film and music</v>
      </c>
      <c r="B720" s="375">
        <f>$B$6</f>
        <v>2015</v>
      </c>
      <c r="C720" s="375"/>
      <c r="D720" s="375"/>
      <c r="E720" s="375"/>
      <c r="F720" s="263"/>
      <c r="G720" s="375">
        <f>$G$6</f>
        <v>2020</v>
      </c>
      <c r="H720" s="375"/>
      <c r="I720" s="375"/>
      <c r="J720" s="375"/>
      <c r="K720" s="263"/>
      <c r="L720" s="375">
        <f>$L$6</f>
        <v>2035</v>
      </c>
      <c r="M720" s="375"/>
      <c r="N720" s="375"/>
      <c r="O720" s="375"/>
    </row>
    <row r="721" spans="1:15" s="236" customFormat="1" x14ac:dyDescent="0.3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3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3">
      <c r="A723" s="237" t="str">
        <f>name!E$4</f>
        <v>Managers, directors and senior officials</v>
      </c>
      <c r="B723" s="302">
        <v>12.641064167869882</v>
      </c>
      <c r="C723" s="302">
        <v>1.3938656827180052</v>
      </c>
      <c r="D723" s="302">
        <v>2.3709025262039041</v>
      </c>
      <c r="E723" s="302">
        <f>SUM(B723:D723)</f>
        <v>16.405832376791789</v>
      </c>
      <c r="F723" s="303"/>
      <c r="G723" s="302">
        <v>13.378690648229</v>
      </c>
      <c r="H723" s="302">
        <v>2.4399311020409895</v>
      </c>
      <c r="I723" s="302">
        <v>2.2766690403716492</v>
      </c>
      <c r="J723" s="302">
        <f>SUM(G723:I723)</f>
        <v>18.095290790641641</v>
      </c>
      <c r="K723" s="303"/>
      <c r="L723" s="302">
        <v>14.926084498630228</v>
      </c>
      <c r="M723" s="302">
        <v>3.2905979031062538</v>
      </c>
      <c r="N723" s="302">
        <v>2.5915911154548112</v>
      </c>
      <c r="O723" s="302">
        <f>SUM(L723:N723)</f>
        <v>20.808273517191292</v>
      </c>
    </row>
    <row r="724" spans="1:15" s="236" customFormat="1" x14ac:dyDescent="0.3">
      <c r="A724" s="237" t="str">
        <f>name!E$5</f>
        <v>Professional occupations</v>
      </c>
      <c r="B724" s="302">
        <v>17.614026078633835</v>
      </c>
      <c r="C724" s="302">
        <v>2.0102828155655867</v>
      </c>
      <c r="D724" s="302">
        <v>5.9637668746722703</v>
      </c>
      <c r="E724" s="302">
        <f t="shared" ref="E724:E731" si="315">SUM(B724:D724)</f>
        <v>25.588075768871693</v>
      </c>
      <c r="F724" s="303"/>
      <c r="G724" s="302">
        <v>23.216068491640659</v>
      </c>
      <c r="H724" s="302">
        <v>3.871426369566024</v>
      </c>
      <c r="I724" s="302">
        <v>5.6752569371431907</v>
      </c>
      <c r="J724" s="302">
        <f t="shared" ref="J724:J726" si="316">SUM(G724:I724)</f>
        <v>32.762751798349875</v>
      </c>
      <c r="K724" s="303"/>
      <c r="L724" s="302">
        <v>27.148215815406818</v>
      </c>
      <c r="M724" s="302">
        <v>5.3288138451982778</v>
      </c>
      <c r="N724" s="302">
        <v>5.1855750145656909</v>
      </c>
      <c r="O724" s="302">
        <f t="shared" ref="O724:O731" si="317">SUM(L724:N724)</f>
        <v>37.66260467517079</v>
      </c>
    </row>
    <row r="725" spans="1:15" s="236" customFormat="1" x14ac:dyDescent="0.3">
      <c r="A725" s="237" t="str">
        <f>name!E$6</f>
        <v>Associate professional occupations</v>
      </c>
      <c r="B725" s="302">
        <v>20.453242059978876</v>
      </c>
      <c r="C725" s="302">
        <v>3.3345708447060383</v>
      </c>
      <c r="D725" s="302">
        <v>17.361660548176328</v>
      </c>
      <c r="E725" s="302">
        <f t="shared" si="315"/>
        <v>41.149473452861244</v>
      </c>
      <c r="F725" s="303"/>
      <c r="G725" s="302">
        <v>24.175203681441417</v>
      </c>
      <c r="H725" s="302">
        <v>5.0107093364552986</v>
      </c>
      <c r="I725" s="302">
        <v>16.945404150249626</v>
      </c>
      <c r="J725" s="302">
        <f t="shared" si="316"/>
        <v>46.131317168146339</v>
      </c>
      <c r="K725" s="303"/>
      <c r="L725" s="302">
        <v>24.558701820129798</v>
      </c>
      <c r="M725" s="302">
        <v>5.3866821633200219</v>
      </c>
      <c r="N725" s="302">
        <v>17.322594709680406</v>
      </c>
      <c r="O725" s="302">
        <f t="shared" si="317"/>
        <v>47.267978693130225</v>
      </c>
    </row>
    <row r="726" spans="1:15" s="236" customFormat="1" x14ac:dyDescent="0.3">
      <c r="A726" s="237" t="str">
        <f>name!E$7</f>
        <v>Administrative and secretarial occupations</v>
      </c>
      <c r="B726" s="302">
        <v>9.0596840581464395</v>
      </c>
      <c r="C726" s="302">
        <v>4.4243845094925254</v>
      </c>
      <c r="D726" s="302">
        <v>0.52022518452126332</v>
      </c>
      <c r="E726" s="302">
        <f t="shared" si="315"/>
        <v>14.004293752160228</v>
      </c>
      <c r="F726" s="303"/>
      <c r="G726" s="302">
        <v>9.6965422851237673</v>
      </c>
      <c r="H726" s="302">
        <v>6.2178688910893243</v>
      </c>
      <c r="I726" s="302">
        <v>0.40869545838584537</v>
      </c>
      <c r="J726" s="302">
        <f t="shared" si="316"/>
        <v>16.323106634598936</v>
      </c>
      <c r="K726" s="303"/>
      <c r="L726" s="302">
        <v>7.1919021753963639</v>
      </c>
      <c r="M726" s="302">
        <v>5.4329743295010609</v>
      </c>
      <c r="N726" s="302">
        <v>0.4036241472970194</v>
      </c>
      <c r="O726" s="302">
        <f t="shared" si="317"/>
        <v>13.028500652194445</v>
      </c>
    </row>
    <row r="727" spans="1:15" s="236" customFormat="1" x14ac:dyDescent="0.3">
      <c r="A727" s="237" t="str">
        <f>name!E$8</f>
        <v>Skilled trades occupations</v>
      </c>
      <c r="B727" s="302">
        <v>4.8944667695753239</v>
      </c>
      <c r="C727" s="302">
        <v>0.8173123464289439</v>
      </c>
      <c r="D727" s="302">
        <v>2.4304562221761628</v>
      </c>
      <c r="E727" s="302">
        <f t="shared" si="315"/>
        <v>8.1422353381804307</v>
      </c>
      <c r="F727" s="303"/>
      <c r="G727" s="302">
        <v>4.5120806226302586</v>
      </c>
      <c r="H727" s="302">
        <v>0.95034756007782117</v>
      </c>
      <c r="I727" s="302">
        <v>2.0743241353194599</v>
      </c>
      <c r="J727" s="302">
        <f>SUM(G727:I727)</f>
        <v>7.5367523180275402</v>
      </c>
      <c r="K727" s="303"/>
      <c r="L727" s="302">
        <v>3.8072177907687474</v>
      </c>
      <c r="M727" s="302">
        <v>1.4495006958395684</v>
      </c>
      <c r="N727" s="302">
        <v>2.122744429949543</v>
      </c>
      <c r="O727" s="302">
        <f t="shared" si="317"/>
        <v>7.3794629165578591</v>
      </c>
    </row>
    <row r="728" spans="1:15" s="236" customFormat="1" x14ac:dyDescent="0.3">
      <c r="A728" s="237" t="str">
        <f>name!E$9</f>
        <v>Caring, leisure and other service occupations</v>
      </c>
      <c r="B728" s="302">
        <v>4.5603322032216678</v>
      </c>
      <c r="C728" s="302">
        <v>2.7383195865454626</v>
      </c>
      <c r="D728" s="302">
        <v>0.68280373734194133</v>
      </c>
      <c r="E728" s="302">
        <f t="shared" si="315"/>
        <v>7.9814555271090715</v>
      </c>
      <c r="F728" s="303"/>
      <c r="G728" s="302">
        <v>4.3777087077865264</v>
      </c>
      <c r="H728" s="302">
        <v>3.4905633646841299</v>
      </c>
      <c r="I728" s="302">
        <v>0.7220691279394561</v>
      </c>
      <c r="J728" s="302">
        <f t="shared" ref="J728:J731" si="318">SUM(G728:I728)</f>
        <v>8.5903412004101121</v>
      </c>
      <c r="K728" s="303"/>
      <c r="L728" s="302">
        <v>4.410682781569137</v>
      </c>
      <c r="M728" s="302">
        <v>3.3698822916304243</v>
      </c>
      <c r="N728" s="302">
        <v>0.8680703685861455</v>
      </c>
      <c r="O728" s="302">
        <f t="shared" si="317"/>
        <v>8.6486354417857072</v>
      </c>
    </row>
    <row r="729" spans="1:15" s="236" customFormat="1" x14ac:dyDescent="0.3">
      <c r="A729" s="237" t="str">
        <f>name!E$10</f>
        <v>Sales and customer service occupations</v>
      </c>
      <c r="B729" s="302">
        <v>4.4717093852972303</v>
      </c>
      <c r="C729" s="302">
        <v>1.8119444928254231</v>
      </c>
      <c r="D729" s="302">
        <v>0.54887885683758608</v>
      </c>
      <c r="E729" s="302">
        <f t="shared" si="315"/>
        <v>6.8325327349602389</v>
      </c>
      <c r="F729" s="303"/>
      <c r="G729" s="302">
        <v>4.6788019833916188</v>
      </c>
      <c r="H729" s="302">
        <v>2.6022364290985265</v>
      </c>
      <c r="I729" s="302">
        <v>0.38520852944609701</v>
      </c>
      <c r="J729" s="302">
        <f t="shared" si="318"/>
        <v>7.6662469419362429</v>
      </c>
      <c r="K729" s="303"/>
      <c r="L729" s="302">
        <v>4.9678531284786915</v>
      </c>
      <c r="M729" s="302">
        <v>3.0369138252953221</v>
      </c>
      <c r="N729" s="302">
        <v>0.36031873392919156</v>
      </c>
      <c r="O729" s="302">
        <f t="shared" si="317"/>
        <v>8.3650856877032034</v>
      </c>
    </row>
    <row r="730" spans="1:15" s="236" customFormat="1" x14ac:dyDescent="0.3">
      <c r="A730" s="237" t="str">
        <f>name!E$11</f>
        <v>Process, plant and machine operatives</v>
      </c>
      <c r="B730" s="302">
        <v>0.84935171395391307</v>
      </c>
      <c r="C730" s="302">
        <v>0.34058125996196098</v>
      </c>
      <c r="D730" s="302">
        <v>0.1675865838705958</v>
      </c>
      <c r="E730" s="302">
        <f t="shared" si="315"/>
        <v>1.3575195577864698</v>
      </c>
      <c r="F730" s="303"/>
      <c r="G730" s="302">
        <v>0.91615817546859379</v>
      </c>
      <c r="H730" s="302">
        <v>0.52908131791684943</v>
      </c>
      <c r="I730" s="302">
        <v>0.17581147882996476</v>
      </c>
      <c r="J730" s="302">
        <f t="shared" si="318"/>
        <v>1.6210509722154078</v>
      </c>
      <c r="K730" s="303"/>
      <c r="L730" s="302">
        <v>0.86903701789301613</v>
      </c>
      <c r="M730" s="302">
        <v>0.77175708735738269</v>
      </c>
      <c r="N730" s="302">
        <v>0.2188360537865732</v>
      </c>
      <c r="O730" s="302">
        <f t="shared" si="317"/>
        <v>1.8596301590369719</v>
      </c>
    </row>
    <row r="731" spans="1:15" s="236" customFormat="1" x14ac:dyDescent="0.3">
      <c r="A731" s="237" t="str">
        <f>name!E$12</f>
        <v>Elementary occupations</v>
      </c>
      <c r="B731" s="302">
        <v>6.2551235628790742</v>
      </c>
      <c r="C731" s="302">
        <v>7.0357384619648995</v>
      </c>
      <c r="D731" s="302">
        <v>2.7347194668120069</v>
      </c>
      <c r="E731" s="302">
        <f t="shared" si="315"/>
        <v>16.025581491655981</v>
      </c>
      <c r="F731" s="303"/>
      <c r="G731" s="302">
        <v>6.4367454042766692</v>
      </c>
      <c r="H731" s="302">
        <v>7.787835629180111</v>
      </c>
      <c r="I731" s="302">
        <v>2.0315611429007823</v>
      </c>
      <c r="J731" s="302">
        <f t="shared" si="318"/>
        <v>16.25614217635756</v>
      </c>
      <c r="K731" s="303"/>
      <c r="L731" s="302">
        <v>6.4333049719323476</v>
      </c>
      <c r="M731" s="302">
        <v>6.6688778587089113</v>
      </c>
      <c r="N731" s="302">
        <v>2.9096454282455313</v>
      </c>
      <c r="O731" s="302">
        <f t="shared" si="317"/>
        <v>16.011828258886791</v>
      </c>
    </row>
    <row r="732" spans="1:15" s="236" customFormat="1" x14ac:dyDescent="0.3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3">
      <c r="A733" s="244" t="s">
        <v>32</v>
      </c>
      <c r="B733" s="311">
        <f>SUM(B723:B731)</f>
        <v>80.79899999955623</v>
      </c>
      <c r="C733" s="311">
        <f t="shared" ref="C733:E733" si="319">SUM(C723:C731)</f>
        <v>23.907000000208846</v>
      </c>
      <c r="D733" s="311">
        <f t="shared" si="319"/>
        <v>32.78100000061206</v>
      </c>
      <c r="E733" s="311">
        <f t="shared" si="319"/>
        <v>137.48700000037715</v>
      </c>
      <c r="F733" s="311"/>
      <c r="G733" s="311">
        <f t="shared" ref="G733:J733" si="320">SUM(G723:G731)</f>
        <v>91.387999999988509</v>
      </c>
      <c r="H733" s="311">
        <f t="shared" si="320"/>
        <v>32.900000000109067</v>
      </c>
      <c r="I733" s="311">
        <f t="shared" si="320"/>
        <v>30.69500000058607</v>
      </c>
      <c r="J733" s="311">
        <f t="shared" si="320"/>
        <v>154.98300000068366</v>
      </c>
      <c r="K733" s="311"/>
      <c r="L733" s="311">
        <f t="shared" ref="L733:O733" si="321">SUM(L723:L731)</f>
        <v>94.31300000020515</v>
      </c>
      <c r="M733" s="311">
        <f t="shared" si="321"/>
        <v>34.735999999957222</v>
      </c>
      <c r="N733" s="311">
        <f t="shared" si="321"/>
        <v>31.983000001494911</v>
      </c>
      <c r="O733" s="311">
        <f t="shared" si="321"/>
        <v>161.03200000165731</v>
      </c>
    </row>
    <row r="734" spans="1:15" s="236" customFormat="1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3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3">
      <c r="A737" s="241" t="str">
        <f>name!A46</f>
        <v>Broadcasting</v>
      </c>
      <c r="B737" s="375">
        <f>$B$6</f>
        <v>2015</v>
      </c>
      <c r="C737" s="375"/>
      <c r="D737" s="375"/>
      <c r="E737" s="375"/>
      <c r="F737" s="263"/>
      <c r="G737" s="375">
        <f>$G$6</f>
        <v>2020</v>
      </c>
      <c r="H737" s="375"/>
      <c r="I737" s="375"/>
      <c r="J737" s="375"/>
      <c r="K737" s="263"/>
      <c r="L737" s="375">
        <f>$L$6</f>
        <v>2035</v>
      </c>
      <c r="M737" s="375"/>
      <c r="N737" s="375"/>
      <c r="O737" s="375"/>
    </row>
    <row r="738" spans="1:15" s="236" customFormat="1" x14ac:dyDescent="0.3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3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3">
      <c r="A740" s="237" t="str">
        <f>name!E$4</f>
        <v>Managers, directors and senior officials</v>
      </c>
      <c r="B740" s="302">
        <v>4.3901276149863389</v>
      </c>
      <c r="C740" s="302">
        <v>0.11161880391416019</v>
      </c>
      <c r="D740" s="302">
        <v>0.75773544208492472</v>
      </c>
      <c r="E740" s="302">
        <f>SUM(B740:D740)</f>
        <v>5.2594818609854235</v>
      </c>
      <c r="F740" s="303"/>
      <c r="G740" s="302">
        <v>4.5030022119200996</v>
      </c>
      <c r="H740" s="302">
        <v>0.25974944158241436</v>
      </c>
      <c r="I740" s="302">
        <v>1.1715963832624323</v>
      </c>
      <c r="J740" s="302">
        <f>SUM(G740:I740)</f>
        <v>5.9343480367649466</v>
      </c>
      <c r="K740" s="303"/>
      <c r="L740" s="302">
        <v>4.657371485975391</v>
      </c>
      <c r="M740" s="302">
        <v>0.35425875106130117</v>
      </c>
      <c r="N740" s="302">
        <v>1.3191848683423735</v>
      </c>
      <c r="O740" s="302">
        <f>SUM(L740:N740)</f>
        <v>6.3308151053790649</v>
      </c>
    </row>
    <row r="741" spans="1:15" s="236" customFormat="1" x14ac:dyDescent="0.3">
      <c r="A741" s="237" t="str">
        <f>name!E$5</f>
        <v>Professional occupations</v>
      </c>
      <c r="B741" s="302">
        <v>6.8293771172798685</v>
      </c>
      <c r="C741" s="302">
        <v>0.33529681447530441</v>
      </c>
      <c r="D741" s="302">
        <v>2.1556675434276222</v>
      </c>
      <c r="E741" s="302">
        <f t="shared" ref="E741:E748" si="322">SUM(B741:D741)</f>
        <v>9.3203414751827953</v>
      </c>
      <c r="F741" s="303"/>
      <c r="G741" s="302">
        <v>7.9859961664832237</v>
      </c>
      <c r="H741" s="302">
        <v>0.78731108436233965</v>
      </c>
      <c r="I741" s="302">
        <v>2.766370284895602</v>
      </c>
      <c r="J741" s="302">
        <f t="shared" ref="J741:J743" si="323">SUM(G741:I741)</f>
        <v>11.539677535741166</v>
      </c>
      <c r="K741" s="303"/>
      <c r="L741" s="302">
        <v>9.3875483310623054</v>
      </c>
      <c r="M741" s="302">
        <v>1.1910076150614208</v>
      </c>
      <c r="N741" s="302">
        <v>2.410211352292098</v>
      </c>
      <c r="O741" s="302">
        <f t="shared" ref="O741:O748" si="324">SUM(L741:N741)</f>
        <v>12.988767298415825</v>
      </c>
    </row>
    <row r="742" spans="1:15" s="236" customFormat="1" x14ac:dyDescent="0.3">
      <c r="A742" s="237" t="str">
        <f>name!E$6</f>
        <v>Associate professional occupations</v>
      </c>
      <c r="B742" s="302">
        <v>6.7982403134616742</v>
      </c>
      <c r="C742" s="302">
        <v>0.61509101308082814</v>
      </c>
      <c r="D742" s="302">
        <v>5.5821876135488901</v>
      </c>
      <c r="E742" s="302">
        <f t="shared" si="322"/>
        <v>12.995518940091394</v>
      </c>
      <c r="F742" s="303"/>
      <c r="G742" s="302">
        <v>6.6215321806981269</v>
      </c>
      <c r="H742" s="302">
        <v>1.1074218386283683</v>
      </c>
      <c r="I742" s="302">
        <v>8.0111306067947652</v>
      </c>
      <c r="J742" s="302">
        <f t="shared" si="323"/>
        <v>15.740084626121259</v>
      </c>
      <c r="K742" s="303"/>
      <c r="L742" s="302">
        <v>6.2458776592230985</v>
      </c>
      <c r="M742" s="302">
        <v>1.2409762213239468</v>
      </c>
      <c r="N742" s="302">
        <v>7.8620471502145017</v>
      </c>
      <c r="O742" s="302">
        <f t="shared" si="324"/>
        <v>15.348901030761546</v>
      </c>
    </row>
    <row r="743" spans="1:15" s="236" customFormat="1" x14ac:dyDescent="0.3">
      <c r="A743" s="237" t="str">
        <f>name!E$7</f>
        <v>Administrative and secretarial occupations</v>
      </c>
      <c r="B743" s="302">
        <v>2.0822654241786216</v>
      </c>
      <c r="C743" s="302">
        <v>0.48945839349940234</v>
      </c>
      <c r="D743" s="302">
        <v>0.11190486315575002</v>
      </c>
      <c r="E743" s="302">
        <f t="shared" si="322"/>
        <v>2.6836286808337739</v>
      </c>
      <c r="F743" s="303"/>
      <c r="G743" s="302">
        <v>1.9953741900368616</v>
      </c>
      <c r="H743" s="302">
        <v>0.69436011159140776</v>
      </c>
      <c r="I743" s="302">
        <v>0.23275746220542909</v>
      </c>
      <c r="J743" s="302">
        <f t="shared" si="323"/>
        <v>2.9224917638336985</v>
      </c>
      <c r="K743" s="303"/>
      <c r="L743" s="302">
        <v>1.711860885300152</v>
      </c>
      <c r="M743" s="302">
        <v>0.55525976845509761</v>
      </c>
      <c r="N743" s="302">
        <v>0.21657698913697751</v>
      </c>
      <c r="O743" s="302">
        <f t="shared" si="324"/>
        <v>2.4836976428922273</v>
      </c>
    </row>
    <row r="744" spans="1:15" s="236" customFormat="1" x14ac:dyDescent="0.3">
      <c r="A744" s="237" t="str">
        <f>name!E$8</f>
        <v>Skilled trades occupations</v>
      </c>
      <c r="B744" s="302">
        <v>2.8026805417093206</v>
      </c>
      <c r="C744" s="302">
        <v>0.12819014703080175</v>
      </c>
      <c r="D744" s="302">
        <v>0.71793804118603299</v>
      </c>
      <c r="E744" s="302">
        <f t="shared" si="322"/>
        <v>3.6488087299261553</v>
      </c>
      <c r="F744" s="303"/>
      <c r="G744" s="302">
        <v>2.3738924645727395</v>
      </c>
      <c r="H744" s="302">
        <v>0.1689634145883496</v>
      </c>
      <c r="I744" s="302">
        <v>1.0717664036542058</v>
      </c>
      <c r="J744" s="302">
        <f>SUM(G744:I744)</f>
        <v>3.614622282815295</v>
      </c>
      <c r="K744" s="303"/>
      <c r="L744" s="302">
        <v>2.0266472885263824</v>
      </c>
      <c r="M744" s="302">
        <v>0.21893905743439235</v>
      </c>
      <c r="N744" s="302">
        <v>1.1632453241400207</v>
      </c>
      <c r="O744" s="302">
        <f t="shared" si="324"/>
        <v>3.4088316701007955</v>
      </c>
    </row>
    <row r="745" spans="1:15" s="236" customFormat="1" x14ac:dyDescent="0.3">
      <c r="A745" s="237" t="str">
        <f>name!E$9</f>
        <v>Caring, leisure and other service occupations</v>
      </c>
      <c r="B745" s="302">
        <v>1.1487272418957293</v>
      </c>
      <c r="C745" s="302">
        <v>0.32208090290980312</v>
      </c>
      <c r="D745" s="302">
        <v>0.12454658417074592</v>
      </c>
      <c r="E745" s="302">
        <f t="shared" si="322"/>
        <v>1.5953547289762782</v>
      </c>
      <c r="F745" s="303"/>
      <c r="G745" s="302">
        <v>1.0449018610667895</v>
      </c>
      <c r="H745" s="302">
        <v>0.46632839653937419</v>
      </c>
      <c r="I745" s="302">
        <v>0.28393521666856097</v>
      </c>
      <c r="J745" s="302">
        <f t="shared" ref="J745:J748" si="325">SUM(G745:I745)</f>
        <v>1.7951654742747247</v>
      </c>
      <c r="K745" s="303"/>
      <c r="L745" s="302">
        <v>1.2406875497032621</v>
      </c>
      <c r="M745" s="302">
        <v>0.48769176429857219</v>
      </c>
      <c r="N745" s="302">
        <v>0.30861832510247478</v>
      </c>
      <c r="O745" s="302">
        <f t="shared" si="324"/>
        <v>2.036997639104309</v>
      </c>
    </row>
    <row r="746" spans="1:15" s="236" customFormat="1" x14ac:dyDescent="0.3">
      <c r="A746" s="237" t="str">
        <f>name!E$10</f>
        <v>Sales and customer service occupations</v>
      </c>
      <c r="B746" s="302">
        <v>1.4689976253273971</v>
      </c>
      <c r="C746" s="302">
        <v>0.28612169089560291</v>
      </c>
      <c r="D746" s="302">
        <v>0.18101173915536317</v>
      </c>
      <c r="E746" s="302">
        <f t="shared" si="322"/>
        <v>1.9361310553783631</v>
      </c>
      <c r="F746" s="303"/>
      <c r="G746" s="302">
        <v>1.3800261491339449</v>
      </c>
      <c r="H746" s="302">
        <v>0.40009196859121948</v>
      </c>
      <c r="I746" s="302">
        <v>0.1987320799534725</v>
      </c>
      <c r="J746" s="302">
        <f t="shared" si="325"/>
        <v>1.9788501976786368</v>
      </c>
      <c r="K746" s="303"/>
      <c r="L746" s="302">
        <v>1.6322724487744427</v>
      </c>
      <c r="M746" s="302">
        <v>0.4412459713144849</v>
      </c>
      <c r="N746" s="302">
        <v>0.19133870126006225</v>
      </c>
      <c r="O746" s="302">
        <f t="shared" si="324"/>
        <v>2.2648571213489896</v>
      </c>
    </row>
    <row r="747" spans="1:15" s="236" customFormat="1" x14ac:dyDescent="0.3">
      <c r="A747" s="237" t="str">
        <f>name!E$11</f>
        <v>Process, plant and machine operatives</v>
      </c>
      <c r="B747" s="302">
        <v>0.17950397237386453</v>
      </c>
      <c r="C747" s="302">
        <v>3.2564179209946073E-2</v>
      </c>
      <c r="D747" s="302">
        <v>4.4228849453783227E-2</v>
      </c>
      <c r="E747" s="302">
        <f t="shared" si="322"/>
        <v>0.25629700103759384</v>
      </c>
      <c r="F747" s="303"/>
      <c r="G747" s="302">
        <v>0.16549502627593693</v>
      </c>
      <c r="H747" s="302">
        <v>5.2058774276426363E-2</v>
      </c>
      <c r="I747" s="302">
        <v>6.1025615215254729E-2</v>
      </c>
      <c r="J747" s="302">
        <f t="shared" si="325"/>
        <v>0.27857941576761802</v>
      </c>
      <c r="K747" s="303"/>
      <c r="L747" s="302">
        <v>0.14571389266075227</v>
      </c>
      <c r="M747" s="302">
        <v>6.5319156562551772E-2</v>
      </c>
      <c r="N747" s="302">
        <v>7.6267578509661149E-2</v>
      </c>
      <c r="O747" s="302">
        <f t="shared" si="324"/>
        <v>0.28730062773296516</v>
      </c>
    </row>
    <row r="748" spans="1:15" s="236" customFormat="1" x14ac:dyDescent="0.3">
      <c r="A748" s="237" t="str">
        <f>name!E$12</f>
        <v>Elementary occupations</v>
      </c>
      <c r="B748" s="302">
        <v>0.52408014855214824</v>
      </c>
      <c r="C748" s="302">
        <v>0.56657805499733438</v>
      </c>
      <c r="D748" s="302">
        <v>0.11377932399126087</v>
      </c>
      <c r="E748" s="302">
        <f t="shared" si="322"/>
        <v>1.2044375275407433</v>
      </c>
      <c r="F748" s="303"/>
      <c r="G748" s="302">
        <v>0.46077974981099262</v>
      </c>
      <c r="H748" s="302">
        <v>0.72771496983892436</v>
      </c>
      <c r="I748" s="302">
        <v>0.14368594754461161</v>
      </c>
      <c r="J748" s="302">
        <f t="shared" si="325"/>
        <v>1.3321806671945287</v>
      </c>
      <c r="K748" s="303"/>
      <c r="L748" s="302">
        <v>0.30602045885811729</v>
      </c>
      <c r="M748" s="302">
        <v>0.60430169448542137</v>
      </c>
      <c r="N748" s="302">
        <v>0.15850971158169949</v>
      </c>
      <c r="O748" s="302">
        <f t="shared" si="324"/>
        <v>1.0688318649252382</v>
      </c>
    </row>
    <row r="749" spans="1:15" s="236" customFormat="1" x14ac:dyDescent="0.3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3">
      <c r="A750" s="244" t="s">
        <v>32</v>
      </c>
      <c r="B750" s="311">
        <f>SUM(B740:B748)</f>
        <v>26.223999999764967</v>
      </c>
      <c r="C750" s="311">
        <f t="shared" ref="C750:E750" si="326">SUM(C740:C748)</f>
        <v>2.8870000000131837</v>
      </c>
      <c r="D750" s="311">
        <f t="shared" si="326"/>
        <v>9.7890000001743722</v>
      </c>
      <c r="E750" s="311">
        <f t="shared" si="326"/>
        <v>38.899999999952513</v>
      </c>
      <c r="F750" s="311"/>
      <c r="G750" s="311">
        <f t="shared" ref="G750:J750" si="327">SUM(G740:G748)</f>
        <v>26.530999999998716</v>
      </c>
      <c r="H750" s="311">
        <f t="shared" si="327"/>
        <v>4.6639999999988238</v>
      </c>
      <c r="I750" s="311">
        <f t="shared" si="327"/>
        <v>13.941000000194334</v>
      </c>
      <c r="J750" s="311">
        <f t="shared" si="327"/>
        <v>45.136000000191878</v>
      </c>
      <c r="K750" s="311"/>
      <c r="L750" s="311">
        <f t="shared" ref="L750:O750" si="328">SUM(L740:L748)</f>
        <v>27.354000000083907</v>
      </c>
      <c r="M750" s="311">
        <f t="shared" si="328"/>
        <v>5.1589999999971896</v>
      </c>
      <c r="N750" s="311">
        <f t="shared" si="328"/>
        <v>13.706000000579868</v>
      </c>
      <c r="O750" s="311">
        <f t="shared" si="328"/>
        <v>46.219000000660955</v>
      </c>
    </row>
    <row r="751" spans="1:15" s="236" customFormat="1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3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3">
      <c r="A754" s="241" t="str">
        <f>name!A47</f>
        <v>Telecommunications</v>
      </c>
      <c r="B754" s="375">
        <f>$B$6</f>
        <v>2015</v>
      </c>
      <c r="C754" s="375"/>
      <c r="D754" s="375"/>
      <c r="E754" s="375"/>
      <c r="F754" s="263"/>
      <c r="G754" s="375">
        <f>$G$6</f>
        <v>2020</v>
      </c>
      <c r="H754" s="375"/>
      <c r="I754" s="375"/>
      <c r="J754" s="375"/>
      <c r="K754" s="263"/>
      <c r="L754" s="375">
        <f>$L$6</f>
        <v>2035</v>
      </c>
      <c r="M754" s="375"/>
      <c r="N754" s="375"/>
      <c r="O754" s="375"/>
    </row>
    <row r="755" spans="1:15" s="236" customFormat="1" x14ac:dyDescent="0.3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3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3">
      <c r="A757" s="237" t="str">
        <f>name!E$4</f>
        <v>Managers, directors and senior officials</v>
      </c>
      <c r="B757" s="302">
        <v>31.908913056566856</v>
      </c>
      <c r="C757" s="302">
        <v>1.1869360852823789</v>
      </c>
      <c r="D757" s="302">
        <v>3.3801370999184481</v>
      </c>
      <c r="E757" s="302">
        <f>SUM(B757:D757)</f>
        <v>36.475986241767686</v>
      </c>
      <c r="F757" s="303"/>
      <c r="G757" s="302">
        <v>31.362410640100322</v>
      </c>
      <c r="H757" s="302">
        <v>1.1293576799113678</v>
      </c>
      <c r="I757" s="302">
        <v>2.6499369736051932</v>
      </c>
      <c r="J757" s="302">
        <f>SUM(G757:I757)</f>
        <v>35.14170529361688</v>
      </c>
      <c r="K757" s="303"/>
      <c r="L757" s="302">
        <v>34.699401688236968</v>
      </c>
      <c r="M757" s="302">
        <v>1.2231922918933278</v>
      </c>
      <c r="N757" s="302">
        <v>3.4168048439889067</v>
      </c>
      <c r="O757" s="302">
        <f>SUM(L757:N757)</f>
        <v>39.339398824119201</v>
      </c>
    </row>
    <row r="758" spans="1:15" s="236" customFormat="1" x14ac:dyDescent="0.3">
      <c r="A758" s="237" t="str">
        <f>name!E$5</f>
        <v>Professional occupations</v>
      </c>
      <c r="B758" s="302">
        <v>50.505640147811832</v>
      </c>
      <c r="C758" s="302">
        <v>0.75199490698665084</v>
      </c>
      <c r="D758" s="302">
        <v>6.9978792848780573</v>
      </c>
      <c r="E758" s="302">
        <f t="shared" ref="E758:E765" si="329">SUM(B758:D758)</f>
        <v>58.255514339676544</v>
      </c>
      <c r="F758" s="303"/>
      <c r="G758" s="302">
        <v>55.000801879848062</v>
      </c>
      <c r="H758" s="302">
        <v>0.67185111801690123</v>
      </c>
      <c r="I758" s="302">
        <v>4.9707687220326777</v>
      </c>
      <c r="J758" s="302">
        <f t="shared" ref="J758:J760" si="330">SUM(G758:I758)</f>
        <v>60.643421719897646</v>
      </c>
      <c r="K758" s="303"/>
      <c r="L758" s="302">
        <v>69.712100634195039</v>
      </c>
      <c r="M758" s="302">
        <v>0.85144635024101889</v>
      </c>
      <c r="N758" s="302">
        <v>4.4721520466806943</v>
      </c>
      <c r="O758" s="302">
        <f t="shared" ref="O758:O765" si="331">SUM(L758:N758)</f>
        <v>75.035699031116749</v>
      </c>
    </row>
    <row r="759" spans="1:15" s="236" customFormat="1" x14ac:dyDescent="0.3">
      <c r="A759" s="237" t="str">
        <f>name!E$6</f>
        <v>Associate professional occupations</v>
      </c>
      <c r="B759" s="302">
        <v>23.49652638744746</v>
      </c>
      <c r="C759" s="302">
        <v>1.2426056773436998</v>
      </c>
      <c r="D759" s="302">
        <v>2.3047193823118732</v>
      </c>
      <c r="E759" s="302">
        <f t="shared" si="329"/>
        <v>27.043851447103034</v>
      </c>
      <c r="F759" s="303"/>
      <c r="G759" s="302">
        <v>23.943586916591332</v>
      </c>
      <c r="H759" s="302">
        <v>0.97966852623692602</v>
      </c>
      <c r="I759" s="302">
        <v>1.3995419070009874</v>
      </c>
      <c r="J759" s="302">
        <f t="shared" si="330"/>
        <v>26.322797349829244</v>
      </c>
      <c r="K759" s="303"/>
      <c r="L759" s="302">
        <v>25.992836774307921</v>
      </c>
      <c r="M759" s="302">
        <v>0.9391440855625306</v>
      </c>
      <c r="N759" s="302">
        <v>1.6979020119945836</v>
      </c>
      <c r="O759" s="302">
        <f t="shared" si="331"/>
        <v>28.629882871865036</v>
      </c>
    </row>
    <row r="760" spans="1:15" s="236" customFormat="1" x14ac:dyDescent="0.3">
      <c r="A760" s="237" t="str">
        <f>name!E$7</f>
        <v>Administrative and secretarial occupations</v>
      </c>
      <c r="B760" s="302">
        <v>10.129225202662917</v>
      </c>
      <c r="C760" s="302">
        <v>1.8403184273510791</v>
      </c>
      <c r="D760" s="302">
        <v>1.0585046134390568</v>
      </c>
      <c r="E760" s="302">
        <f t="shared" si="329"/>
        <v>13.028048243453053</v>
      </c>
      <c r="F760" s="303"/>
      <c r="G760" s="302">
        <v>9.6341656866300696</v>
      </c>
      <c r="H760" s="302">
        <v>1.315377121414891</v>
      </c>
      <c r="I760" s="302">
        <v>0.29425187360697264</v>
      </c>
      <c r="J760" s="302">
        <f t="shared" si="330"/>
        <v>11.243794681651933</v>
      </c>
      <c r="K760" s="303"/>
      <c r="L760" s="302">
        <v>10.188050832343967</v>
      </c>
      <c r="M760" s="302">
        <v>1.1429763094723704</v>
      </c>
      <c r="N760" s="302">
        <v>0.36071788267681798</v>
      </c>
      <c r="O760" s="302">
        <f t="shared" si="331"/>
        <v>11.691745024493155</v>
      </c>
    </row>
    <row r="761" spans="1:15" s="236" customFormat="1" x14ac:dyDescent="0.3">
      <c r="A761" s="237" t="str">
        <f>name!E$8</f>
        <v>Skilled trades occupations</v>
      </c>
      <c r="B761" s="302">
        <v>23.277946587861646</v>
      </c>
      <c r="C761" s="302">
        <v>0.63542489112620704</v>
      </c>
      <c r="D761" s="302">
        <v>2.431241337299606</v>
      </c>
      <c r="E761" s="302">
        <f t="shared" si="329"/>
        <v>26.344612816287459</v>
      </c>
      <c r="F761" s="303"/>
      <c r="G761" s="302">
        <v>16.777898447502245</v>
      </c>
      <c r="H761" s="302">
        <v>0.30637212220347709</v>
      </c>
      <c r="I761" s="302">
        <v>1.4338909014279591</v>
      </c>
      <c r="J761" s="302">
        <f>SUM(G761:I761)</f>
        <v>18.518161471133681</v>
      </c>
      <c r="K761" s="303"/>
      <c r="L761" s="302">
        <v>12.348479590967546</v>
      </c>
      <c r="M761" s="302">
        <v>0.27563105196051607</v>
      </c>
      <c r="N761" s="302">
        <v>2.0893866399432208</v>
      </c>
      <c r="O761" s="302">
        <f t="shared" si="331"/>
        <v>14.713497282871284</v>
      </c>
    </row>
    <row r="762" spans="1:15" s="236" customFormat="1" x14ac:dyDescent="0.3">
      <c r="A762" s="237" t="str">
        <f>name!E$9</f>
        <v>Caring, leisure and other service occupations</v>
      </c>
      <c r="B762" s="302">
        <v>4.4592993101258616</v>
      </c>
      <c r="C762" s="302">
        <v>0.55023789313072802</v>
      </c>
      <c r="D762" s="302">
        <v>0.5421404645998773</v>
      </c>
      <c r="E762" s="302">
        <f t="shared" si="329"/>
        <v>5.5516776678564668</v>
      </c>
      <c r="F762" s="303"/>
      <c r="G762" s="302">
        <v>3.89006323549392</v>
      </c>
      <c r="H762" s="302">
        <v>0.32396673173707075</v>
      </c>
      <c r="I762" s="302">
        <v>0.18096558153090114</v>
      </c>
      <c r="J762" s="302">
        <f t="shared" ref="J762:J765" si="332">SUM(G762:I762)</f>
        <v>4.3949955487618917</v>
      </c>
      <c r="K762" s="303"/>
      <c r="L762" s="302">
        <v>5.7470304139419559</v>
      </c>
      <c r="M762" s="302">
        <v>0.31309861091373381</v>
      </c>
      <c r="N762" s="302">
        <v>0.36679660037263401</v>
      </c>
      <c r="O762" s="302">
        <f t="shared" si="331"/>
        <v>6.426925625228324</v>
      </c>
    </row>
    <row r="763" spans="1:15" s="236" customFormat="1" x14ac:dyDescent="0.3">
      <c r="A763" s="237" t="str">
        <f>name!E$10</f>
        <v>Sales and customer service occupations</v>
      </c>
      <c r="B763" s="302">
        <v>14.955533474153137</v>
      </c>
      <c r="C763" s="302">
        <v>7.3327472075719937</v>
      </c>
      <c r="D763" s="302">
        <v>1.1884702347659479</v>
      </c>
      <c r="E763" s="302">
        <f t="shared" si="329"/>
        <v>23.476750916491078</v>
      </c>
      <c r="F763" s="303"/>
      <c r="G763" s="302">
        <v>12.911946220311901</v>
      </c>
      <c r="H763" s="302">
        <v>5.172090144591297</v>
      </c>
      <c r="I763" s="302">
        <v>0.54527219298432494</v>
      </c>
      <c r="J763" s="302">
        <f t="shared" si="332"/>
        <v>18.629308557887523</v>
      </c>
      <c r="K763" s="303"/>
      <c r="L763" s="302">
        <v>17.741534836632908</v>
      </c>
      <c r="M763" s="302">
        <v>6.5437130754483128</v>
      </c>
      <c r="N763" s="302">
        <v>0.62270018642858171</v>
      </c>
      <c r="O763" s="302">
        <f t="shared" si="331"/>
        <v>24.907948098509802</v>
      </c>
    </row>
    <row r="764" spans="1:15" s="236" customFormat="1" x14ac:dyDescent="0.3">
      <c r="A764" s="237" t="str">
        <f>name!E$11</f>
        <v>Process, plant and machine operatives</v>
      </c>
      <c r="B764" s="302">
        <v>1.4716547151932011</v>
      </c>
      <c r="C764" s="302">
        <v>0.46925615214066202</v>
      </c>
      <c r="D764" s="302">
        <v>0.57268336034308864</v>
      </c>
      <c r="E764" s="302">
        <f t="shared" si="329"/>
        <v>2.5135942276769518</v>
      </c>
      <c r="F764" s="303"/>
      <c r="G764" s="302">
        <v>1.0260952631296443</v>
      </c>
      <c r="H764" s="302">
        <v>0.25630972782074879</v>
      </c>
      <c r="I764" s="302">
        <v>0.3510269252501772</v>
      </c>
      <c r="J764" s="302">
        <f t="shared" si="332"/>
        <v>1.6334319162005702</v>
      </c>
      <c r="K764" s="303"/>
      <c r="L764" s="302">
        <v>1.1310560382559398</v>
      </c>
      <c r="M764" s="302">
        <v>0.36088676171931494</v>
      </c>
      <c r="N764" s="302">
        <v>0.68032424102421962</v>
      </c>
      <c r="O764" s="302">
        <f t="shared" si="331"/>
        <v>2.1722670409994747</v>
      </c>
    </row>
    <row r="765" spans="1:15" s="236" customFormat="1" x14ac:dyDescent="0.3">
      <c r="A765" s="237" t="str">
        <f>name!E$12</f>
        <v>Elementary occupations</v>
      </c>
      <c r="B765" s="302">
        <v>1.2902611160643618</v>
      </c>
      <c r="C765" s="302">
        <v>0.55447875921816414</v>
      </c>
      <c r="D765" s="302">
        <v>1.7292242225540506</v>
      </c>
      <c r="E765" s="302">
        <f t="shared" si="329"/>
        <v>3.5739640978365763</v>
      </c>
      <c r="F765" s="303"/>
      <c r="G765" s="302">
        <v>0.89803170900443696</v>
      </c>
      <c r="H765" s="302">
        <v>0.29500682811399676</v>
      </c>
      <c r="I765" s="302">
        <v>0.98934492267872698</v>
      </c>
      <c r="J765" s="302">
        <f t="shared" si="332"/>
        <v>2.182383459797161</v>
      </c>
      <c r="K765" s="303"/>
      <c r="L765" s="302">
        <v>0.75750919042626852</v>
      </c>
      <c r="M765" s="302">
        <v>0.22091146283343091</v>
      </c>
      <c r="N765" s="302">
        <v>1.4762155470981522</v>
      </c>
      <c r="O765" s="302">
        <f t="shared" si="331"/>
        <v>2.4546362003578515</v>
      </c>
    </row>
    <row r="766" spans="1:15" s="236" customFormat="1" x14ac:dyDescent="0.3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3">
      <c r="A767" s="244" t="s">
        <v>32</v>
      </c>
      <c r="B767" s="311">
        <f>SUM(B757:B765)</f>
        <v>161.49499999788728</v>
      </c>
      <c r="C767" s="311">
        <f t="shared" ref="C767:E767" si="333">SUM(C757:C765)</f>
        <v>14.564000000151562</v>
      </c>
      <c r="D767" s="311">
        <f t="shared" si="333"/>
        <v>20.205000000110008</v>
      </c>
      <c r="E767" s="311">
        <f t="shared" si="333"/>
        <v>196.26399999814885</v>
      </c>
      <c r="F767" s="311"/>
      <c r="G767" s="311">
        <f t="shared" ref="G767:J767" si="334">SUM(G757:G765)</f>
        <v>155.44499999861193</v>
      </c>
      <c r="H767" s="311">
        <f t="shared" si="334"/>
        <v>10.450000000046677</v>
      </c>
      <c r="I767" s="311">
        <f t="shared" si="334"/>
        <v>12.815000000117919</v>
      </c>
      <c r="J767" s="311">
        <f t="shared" si="334"/>
        <v>178.70999999877654</v>
      </c>
      <c r="K767" s="311"/>
      <c r="L767" s="311">
        <f t="shared" ref="L767:O767" si="335">SUM(L757:L765)</f>
        <v>178.31799999930851</v>
      </c>
      <c r="M767" s="311">
        <f t="shared" si="335"/>
        <v>11.871000000044557</v>
      </c>
      <c r="N767" s="311">
        <f t="shared" si="335"/>
        <v>15.18300000020781</v>
      </c>
      <c r="O767" s="311">
        <f t="shared" si="335"/>
        <v>205.37199999956087</v>
      </c>
    </row>
    <row r="768" spans="1:15" s="236" customFormat="1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3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3">
      <c r="A771" s="241" t="str">
        <f>name!A48</f>
        <v>Computing services</v>
      </c>
      <c r="B771" s="375">
        <f>$B$6</f>
        <v>2015</v>
      </c>
      <c r="C771" s="375"/>
      <c r="D771" s="375"/>
      <c r="E771" s="375"/>
      <c r="F771" s="263"/>
      <c r="G771" s="375">
        <f>$G$6</f>
        <v>2020</v>
      </c>
      <c r="H771" s="375"/>
      <c r="I771" s="375"/>
      <c r="J771" s="375"/>
      <c r="K771" s="263"/>
      <c r="L771" s="375">
        <f>$L$6</f>
        <v>2035</v>
      </c>
      <c r="M771" s="375"/>
      <c r="N771" s="375"/>
      <c r="O771" s="375"/>
    </row>
    <row r="772" spans="1:15" s="236" customFormat="1" x14ac:dyDescent="0.3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3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3">
      <c r="A774" s="237" t="str">
        <f>name!E$4</f>
        <v>Managers, directors and senior officials</v>
      </c>
      <c r="B774" s="302">
        <v>82.460531203430833</v>
      </c>
      <c r="C774" s="302">
        <v>9.6176522606282351</v>
      </c>
      <c r="D774" s="302">
        <v>10.18155281900288</v>
      </c>
      <c r="E774" s="302">
        <f>SUM(B774:D774)</f>
        <v>102.25973628306194</v>
      </c>
      <c r="F774" s="303"/>
      <c r="G774" s="302">
        <v>92.431238151917327</v>
      </c>
      <c r="H774" s="302">
        <v>14.906567491808953</v>
      </c>
      <c r="I774" s="302">
        <v>11.691527332305192</v>
      </c>
      <c r="J774" s="302">
        <f>SUM(G774:I774)</f>
        <v>119.02933297603147</v>
      </c>
      <c r="K774" s="303"/>
      <c r="L774" s="302">
        <v>103.448916025827</v>
      </c>
      <c r="M774" s="302">
        <v>18.159457797596456</v>
      </c>
      <c r="N774" s="302">
        <v>13.783333182100282</v>
      </c>
      <c r="O774" s="302">
        <f>SUM(L774:N774)</f>
        <v>135.39170700552376</v>
      </c>
    </row>
    <row r="775" spans="1:15" s="236" customFormat="1" x14ac:dyDescent="0.3">
      <c r="A775" s="237" t="str">
        <f>name!E$5</f>
        <v>Professional occupations</v>
      </c>
      <c r="B775" s="302">
        <v>263.94335355249785</v>
      </c>
      <c r="C775" s="302">
        <v>15.002913116620405</v>
      </c>
      <c r="D775" s="302">
        <v>26.075131047389583</v>
      </c>
      <c r="E775" s="302">
        <f t="shared" ref="E775:E782" si="336">SUM(B775:D775)</f>
        <v>305.02139771650781</v>
      </c>
      <c r="F775" s="303"/>
      <c r="G775" s="302">
        <v>322.11966828263536</v>
      </c>
      <c r="H775" s="302">
        <v>20.348958572380756</v>
      </c>
      <c r="I775" s="302">
        <v>26.009860914211789</v>
      </c>
      <c r="J775" s="302">
        <f t="shared" ref="J775:J777" si="337">SUM(G775:I775)</f>
        <v>368.47848776922791</v>
      </c>
      <c r="K775" s="303"/>
      <c r="L775" s="302">
        <v>397.67668899643144</v>
      </c>
      <c r="M775" s="302">
        <v>26.713899468076999</v>
      </c>
      <c r="N775" s="302">
        <v>25.177818784443438</v>
      </c>
      <c r="O775" s="302">
        <f t="shared" ref="O775:O782" si="338">SUM(L775:N775)</f>
        <v>449.56840724895187</v>
      </c>
    </row>
    <row r="776" spans="1:15" s="236" customFormat="1" x14ac:dyDescent="0.3">
      <c r="A776" s="237" t="str">
        <f>name!E$6</f>
        <v>Associate professional occupations</v>
      </c>
      <c r="B776" s="302">
        <v>95.740111139233179</v>
      </c>
      <c r="C776" s="302">
        <v>10.628310270076129</v>
      </c>
      <c r="D776" s="302">
        <v>13.474953128740246</v>
      </c>
      <c r="E776" s="302">
        <f t="shared" si="336"/>
        <v>119.84337453804955</v>
      </c>
      <c r="F776" s="303"/>
      <c r="G776" s="302">
        <v>111.31553706412238</v>
      </c>
      <c r="H776" s="302">
        <v>12.595284203608626</v>
      </c>
      <c r="I776" s="302">
        <v>14.394764170478265</v>
      </c>
      <c r="J776" s="302">
        <f t="shared" si="337"/>
        <v>138.30558543820928</v>
      </c>
      <c r="K776" s="303"/>
      <c r="L776" s="302">
        <v>122.29172621369345</v>
      </c>
      <c r="M776" s="302">
        <v>12.554803781489424</v>
      </c>
      <c r="N776" s="302">
        <v>18.146087975529497</v>
      </c>
      <c r="O776" s="302">
        <f t="shared" si="338"/>
        <v>152.99261797071236</v>
      </c>
    </row>
    <row r="777" spans="1:15" s="236" customFormat="1" x14ac:dyDescent="0.3">
      <c r="A777" s="237" t="str">
        <f>name!E$7</f>
        <v>Administrative and secretarial occupations</v>
      </c>
      <c r="B777" s="302">
        <v>29.459981726191913</v>
      </c>
      <c r="C777" s="302">
        <v>16.817918357287056</v>
      </c>
      <c r="D777" s="302">
        <v>1.547500415747934</v>
      </c>
      <c r="E777" s="302">
        <f t="shared" si="336"/>
        <v>47.825400499226902</v>
      </c>
      <c r="F777" s="303"/>
      <c r="G777" s="302">
        <v>29.514936413706351</v>
      </c>
      <c r="H777" s="302">
        <v>13.471585643481626</v>
      </c>
      <c r="I777" s="302">
        <v>1.5723881116420479</v>
      </c>
      <c r="J777" s="302">
        <f t="shared" si="337"/>
        <v>44.558910168830025</v>
      </c>
      <c r="K777" s="303"/>
      <c r="L777" s="302">
        <v>24.829174994122965</v>
      </c>
      <c r="M777" s="302">
        <v>11.190219586733409</v>
      </c>
      <c r="N777" s="302">
        <v>1.2909647962819342</v>
      </c>
      <c r="O777" s="302">
        <f t="shared" si="338"/>
        <v>37.310359377138305</v>
      </c>
    </row>
    <row r="778" spans="1:15" s="236" customFormat="1" x14ac:dyDescent="0.3">
      <c r="A778" s="237" t="str">
        <f>name!E$8</f>
        <v>Skilled trades occupations</v>
      </c>
      <c r="B778" s="302">
        <v>22.096128741225222</v>
      </c>
      <c r="C778" s="302">
        <v>2.6273201023602133</v>
      </c>
      <c r="D778" s="302">
        <v>7.790138984557017</v>
      </c>
      <c r="E778" s="302">
        <f t="shared" si="336"/>
        <v>32.513587828142448</v>
      </c>
      <c r="F778" s="303"/>
      <c r="G778" s="302">
        <v>18.141798670900499</v>
      </c>
      <c r="H778" s="302">
        <v>2.1201998161469109</v>
      </c>
      <c r="I778" s="302">
        <v>6.123477860072887</v>
      </c>
      <c r="J778" s="302">
        <f>SUM(G778:I778)</f>
        <v>26.385476347120296</v>
      </c>
      <c r="K778" s="303"/>
      <c r="L778" s="302">
        <v>14.782109063387935</v>
      </c>
      <c r="M778" s="302">
        <v>2.6054311866213697</v>
      </c>
      <c r="N778" s="302">
        <v>11.559164264109434</v>
      </c>
      <c r="O778" s="302">
        <f t="shared" si="338"/>
        <v>28.946704514118739</v>
      </c>
    </row>
    <row r="779" spans="1:15" s="236" customFormat="1" x14ac:dyDescent="0.3">
      <c r="A779" s="237" t="str">
        <f>name!E$9</f>
        <v>Caring, leisure and other service occupations</v>
      </c>
      <c r="B779" s="302">
        <v>9.0903797492889726</v>
      </c>
      <c r="C779" s="302">
        <v>1.7816658408315258</v>
      </c>
      <c r="D779" s="302">
        <v>1.0069296347991759</v>
      </c>
      <c r="E779" s="302">
        <f t="shared" si="336"/>
        <v>11.878975224919675</v>
      </c>
      <c r="F779" s="303"/>
      <c r="G779" s="302">
        <v>8.7664044672746506</v>
      </c>
      <c r="H779" s="302">
        <v>1.7891161585828657</v>
      </c>
      <c r="I779" s="302">
        <v>1.1707151045790039</v>
      </c>
      <c r="J779" s="302">
        <f t="shared" ref="J779:J782" si="339">SUM(G779:I779)</f>
        <v>11.726235730436521</v>
      </c>
      <c r="K779" s="303"/>
      <c r="L779" s="302">
        <v>12.272865929714634</v>
      </c>
      <c r="M779" s="302">
        <v>1.9697670618554104</v>
      </c>
      <c r="N779" s="302">
        <v>1.9466812812670808</v>
      </c>
      <c r="O779" s="302">
        <f t="shared" si="338"/>
        <v>16.189314272837127</v>
      </c>
    </row>
    <row r="780" spans="1:15" s="236" customFormat="1" x14ac:dyDescent="0.3">
      <c r="A780" s="237" t="str">
        <f>name!E$10</f>
        <v>Sales and customer service occupations</v>
      </c>
      <c r="B780" s="302">
        <v>10.539518136864416</v>
      </c>
      <c r="C780" s="302">
        <v>3.7283821870759728</v>
      </c>
      <c r="D780" s="302">
        <v>0.83578161342317292</v>
      </c>
      <c r="E780" s="302">
        <f t="shared" si="336"/>
        <v>15.103681937363561</v>
      </c>
      <c r="F780" s="303"/>
      <c r="G780" s="302">
        <v>10.011920903361537</v>
      </c>
      <c r="H780" s="302">
        <v>3.5895119973391902</v>
      </c>
      <c r="I780" s="302">
        <v>0.70045240766046135</v>
      </c>
      <c r="J780" s="302">
        <f t="shared" si="339"/>
        <v>14.301885308361189</v>
      </c>
      <c r="K780" s="303"/>
      <c r="L780" s="302">
        <v>12.435858532142955</v>
      </c>
      <c r="M780" s="302">
        <v>4.9059451499461559</v>
      </c>
      <c r="N780" s="302">
        <v>0.96181527052998428</v>
      </c>
      <c r="O780" s="302">
        <f t="shared" si="338"/>
        <v>18.303618952619097</v>
      </c>
    </row>
    <row r="781" spans="1:15" s="236" customFormat="1" x14ac:dyDescent="0.3">
      <c r="A781" s="237" t="str">
        <f>name!E$11</f>
        <v>Process, plant and machine operatives</v>
      </c>
      <c r="B781" s="302">
        <v>2.0212817121263558</v>
      </c>
      <c r="C781" s="302">
        <v>1.6606884333090604</v>
      </c>
      <c r="D781" s="302">
        <v>2.2863843161929309</v>
      </c>
      <c r="E781" s="302">
        <f t="shared" si="336"/>
        <v>5.9683544616283477</v>
      </c>
      <c r="F781" s="303"/>
      <c r="G781" s="302">
        <v>1.5887585804955628</v>
      </c>
      <c r="H781" s="302">
        <v>2.1558356888605927</v>
      </c>
      <c r="I781" s="302">
        <v>2.4555772301367109</v>
      </c>
      <c r="J781" s="302">
        <f t="shared" si="339"/>
        <v>6.2001714994928658</v>
      </c>
      <c r="K781" s="303"/>
      <c r="L781" s="302">
        <v>2.0044330050800907</v>
      </c>
      <c r="M781" s="302">
        <v>2.451373023097752</v>
      </c>
      <c r="N781" s="302">
        <v>3.8074641280997348</v>
      </c>
      <c r="O781" s="302">
        <f t="shared" si="338"/>
        <v>8.2632701562775779</v>
      </c>
    </row>
    <row r="782" spans="1:15" s="236" customFormat="1" x14ac:dyDescent="0.3">
      <c r="A782" s="237" t="str">
        <f>name!E$12</f>
        <v>Elementary occupations</v>
      </c>
      <c r="B782" s="302">
        <v>2.5227140306664424</v>
      </c>
      <c r="C782" s="302">
        <v>1.3111494309557488</v>
      </c>
      <c r="D782" s="302">
        <v>2.2036280406201181</v>
      </c>
      <c r="E782" s="302">
        <f t="shared" si="336"/>
        <v>6.0374915022423092</v>
      </c>
      <c r="F782" s="303"/>
      <c r="G782" s="302">
        <v>1.8397374620536444</v>
      </c>
      <c r="H782" s="302">
        <v>1.010940427427784</v>
      </c>
      <c r="I782" s="302">
        <v>1.6152368695157675</v>
      </c>
      <c r="J782" s="302">
        <f t="shared" si="339"/>
        <v>4.4659147589971955</v>
      </c>
      <c r="K782" s="303"/>
      <c r="L782" s="302">
        <v>1.4932272375608986</v>
      </c>
      <c r="M782" s="302">
        <v>0.73310294448391422</v>
      </c>
      <c r="N782" s="302">
        <v>2.1806703191071546</v>
      </c>
      <c r="O782" s="302">
        <f t="shared" si="338"/>
        <v>4.407000501151968</v>
      </c>
    </row>
    <row r="783" spans="1:15" s="236" customFormat="1" x14ac:dyDescent="0.3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3">
      <c r="A784" s="244" t="s">
        <v>32</v>
      </c>
      <c r="B784" s="311">
        <f>SUM(B774:B782)</f>
        <v>517.87399999152512</v>
      </c>
      <c r="C784" s="311">
        <f t="shared" ref="C784:E784" si="340">SUM(C774:C782)</f>
        <v>63.175999999144352</v>
      </c>
      <c r="D784" s="311">
        <f t="shared" si="340"/>
        <v>65.402000000473066</v>
      </c>
      <c r="E784" s="311">
        <f t="shared" si="340"/>
        <v>646.45199999114266</v>
      </c>
      <c r="F784" s="311"/>
      <c r="G784" s="311">
        <f t="shared" ref="G784:J784" si="341">SUM(G774:G782)</f>
        <v>595.72999999646731</v>
      </c>
      <c r="H784" s="311">
        <f t="shared" si="341"/>
        <v>71.987999999637296</v>
      </c>
      <c r="I784" s="311">
        <f t="shared" si="341"/>
        <v>65.734000000602137</v>
      </c>
      <c r="J784" s="311">
        <f t="shared" si="341"/>
        <v>733.45199999670683</v>
      </c>
      <c r="K784" s="311"/>
      <c r="L784" s="311">
        <f t="shared" ref="L784:O784" si="342">SUM(L774:L782)</f>
        <v>691.23499999796115</v>
      </c>
      <c r="M784" s="311">
        <f t="shared" si="342"/>
        <v>81.283999999900914</v>
      </c>
      <c r="N784" s="311">
        <f t="shared" si="342"/>
        <v>78.854000001468535</v>
      </c>
      <c r="O784" s="311">
        <f t="shared" si="342"/>
        <v>851.37299999933089</v>
      </c>
    </row>
    <row r="785" spans="1:15" s="236" customFormat="1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3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3">
      <c r="A788" s="241" t="str">
        <f>name!A49</f>
        <v>Information services</v>
      </c>
      <c r="B788" s="375">
        <f>$B$6</f>
        <v>2015</v>
      </c>
      <c r="C788" s="375"/>
      <c r="D788" s="375"/>
      <c r="E788" s="375"/>
      <c r="F788" s="263"/>
      <c r="G788" s="375">
        <f>$G$6</f>
        <v>2020</v>
      </c>
      <c r="H788" s="375"/>
      <c r="I788" s="375"/>
      <c r="J788" s="375"/>
      <c r="K788" s="263"/>
      <c r="L788" s="375">
        <f>$L$6</f>
        <v>2035</v>
      </c>
      <c r="M788" s="375"/>
      <c r="N788" s="375"/>
      <c r="O788" s="375"/>
    </row>
    <row r="789" spans="1:15" s="236" customFormat="1" x14ac:dyDescent="0.3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3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3">
      <c r="A791" s="237" t="str">
        <f>name!E$4</f>
        <v>Managers, directors and senior officials</v>
      </c>
      <c r="B791" s="302">
        <v>11.773558486655235</v>
      </c>
      <c r="C791" s="302">
        <v>0.54645627537922881</v>
      </c>
      <c r="D791" s="302">
        <v>1.157919414295254</v>
      </c>
      <c r="E791" s="302">
        <f>SUM(B791:D791)</f>
        <v>13.477934176329718</v>
      </c>
      <c r="F791" s="303"/>
      <c r="G791" s="302">
        <v>11.258339239774225</v>
      </c>
      <c r="H791" s="302">
        <v>0.97406269557877079</v>
      </c>
      <c r="I791" s="302">
        <v>1.0178509034710035</v>
      </c>
      <c r="J791" s="302">
        <f>SUM(G791:I791)</f>
        <v>13.250252838824</v>
      </c>
      <c r="K791" s="303"/>
      <c r="L791" s="302">
        <v>13.416544069808589</v>
      </c>
      <c r="M791" s="302">
        <v>1.2985042852689068</v>
      </c>
      <c r="N791" s="302">
        <v>1.2416416851793299</v>
      </c>
      <c r="O791" s="302">
        <f>SUM(L791:N791)</f>
        <v>15.956690040256825</v>
      </c>
    </row>
    <row r="792" spans="1:15" s="236" customFormat="1" x14ac:dyDescent="0.3">
      <c r="A792" s="237" t="str">
        <f>name!E$5</f>
        <v>Professional occupations</v>
      </c>
      <c r="B792" s="302">
        <v>29.749478835612592</v>
      </c>
      <c r="C792" s="302">
        <v>0.79427146349258526</v>
      </c>
      <c r="D792" s="302">
        <v>2.1060657642103173</v>
      </c>
      <c r="E792" s="302">
        <f t="shared" ref="E792:E799" si="343">SUM(B792:D792)</f>
        <v>32.649816063315498</v>
      </c>
      <c r="F792" s="303"/>
      <c r="G792" s="302">
        <v>31.602256898787719</v>
      </c>
      <c r="H792" s="302">
        <v>1.2238755328022011</v>
      </c>
      <c r="I792" s="302">
        <v>1.6447340854631161</v>
      </c>
      <c r="J792" s="302">
        <f t="shared" ref="J792:J794" si="344">SUM(G792:I792)</f>
        <v>34.470866517053032</v>
      </c>
      <c r="K792" s="303"/>
      <c r="L792" s="302">
        <v>40.614558707761603</v>
      </c>
      <c r="M792" s="302">
        <v>1.7729241231605224</v>
      </c>
      <c r="N792" s="302">
        <v>1.4986069036655025</v>
      </c>
      <c r="O792" s="302">
        <f t="shared" ref="O792:O799" si="345">SUM(L792:N792)</f>
        <v>43.886089734587628</v>
      </c>
    </row>
    <row r="793" spans="1:15" s="236" customFormat="1" x14ac:dyDescent="0.3">
      <c r="A793" s="237" t="str">
        <f>name!E$6</f>
        <v>Associate professional occupations</v>
      </c>
      <c r="B793" s="302">
        <v>14.713202197249476</v>
      </c>
      <c r="C793" s="302">
        <v>0.72784203907014178</v>
      </c>
      <c r="D793" s="302">
        <v>1.6575824487610595</v>
      </c>
      <c r="E793" s="302">
        <f t="shared" si="343"/>
        <v>17.098626685080678</v>
      </c>
      <c r="F793" s="303"/>
      <c r="G793" s="302">
        <v>14.630884178666546</v>
      </c>
      <c r="H793" s="302">
        <v>1.0063482295439519</v>
      </c>
      <c r="I793" s="302">
        <v>1.3202787618458725</v>
      </c>
      <c r="J793" s="302">
        <f t="shared" si="344"/>
        <v>16.957511170056371</v>
      </c>
      <c r="K793" s="303"/>
      <c r="L793" s="302">
        <v>16.285303671903844</v>
      </c>
      <c r="M793" s="302">
        <v>1.1177036973888015</v>
      </c>
      <c r="N793" s="302">
        <v>1.4708265724688261</v>
      </c>
      <c r="O793" s="302">
        <f t="shared" si="345"/>
        <v>18.873833941761472</v>
      </c>
    </row>
    <row r="794" spans="1:15" s="236" customFormat="1" x14ac:dyDescent="0.3">
      <c r="A794" s="237" t="str">
        <f>name!E$7</f>
        <v>Administrative and secretarial occupations</v>
      </c>
      <c r="B794" s="302">
        <v>6.6393422873681436</v>
      </c>
      <c r="C794" s="302">
        <v>1.0955021685604156</v>
      </c>
      <c r="D794" s="302">
        <v>0.20951673396359785</v>
      </c>
      <c r="E794" s="302">
        <f t="shared" si="343"/>
        <v>7.9443611898921578</v>
      </c>
      <c r="F794" s="303"/>
      <c r="G794" s="302">
        <v>5.5315277217752321</v>
      </c>
      <c r="H794" s="302">
        <v>1.0944893726244775</v>
      </c>
      <c r="I794" s="302">
        <v>0.15211044177268662</v>
      </c>
      <c r="J794" s="302">
        <f t="shared" si="344"/>
        <v>6.7781275361723958</v>
      </c>
      <c r="K794" s="303"/>
      <c r="L794" s="302">
        <v>4.772610202235839</v>
      </c>
      <c r="M794" s="302">
        <v>1.0818444655823329</v>
      </c>
      <c r="N794" s="302">
        <v>0.13207673319443544</v>
      </c>
      <c r="O794" s="302">
        <f t="shared" si="345"/>
        <v>5.9865314010126074</v>
      </c>
    </row>
    <row r="795" spans="1:15" s="236" customFormat="1" x14ac:dyDescent="0.3">
      <c r="A795" s="237" t="str">
        <f>name!E$8</f>
        <v>Skilled trades occupations</v>
      </c>
      <c r="B795" s="302">
        <v>2.6956239095920735</v>
      </c>
      <c r="C795" s="302">
        <v>0.17732018609415917</v>
      </c>
      <c r="D795" s="302">
        <v>0.85463310548531712</v>
      </c>
      <c r="E795" s="302">
        <f t="shared" si="343"/>
        <v>3.7275772011715498</v>
      </c>
      <c r="F795" s="303"/>
      <c r="G795" s="302">
        <v>1.9018802113773747</v>
      </c>
      <c r="H795" s="302">
        <v>0.17243320050212702</v>
      </c>
      <c r="I795" s="302">
        <v>0.48958272328924984</v>
      </c>
      <c r="J795" s="302">
        <f>SUM(G795:I795)</f>
        <v>2.5638961351687515</v>
      </c>
      <c r="K795" s="303"/>
      <c r="L795" s="302">
        <v>1.7173549988238663</v>
      </c>
      <c r="M795" s="302">
        <v>0.23996334537250322</v>
      </c>
      <c r="N795" s="302">
        <v>0.82860303719782646</v>
      </c>
      <c r="O795" s="302">
        <f t="shared" si="345"/>
        <v>2.7859213813941959</v>
      </c>
    </row>
    <row r="796" spans="1:15" s="236" customFormat="1" x14ac:dyDescent="0.3">
      <c r="A796" s="237" t="str">
        <f>name!E$9</f>
        <v>Caring, leisure and other service occupations</v>
      </c>
      <c r="B796" s="302">
        <v>2.5167082764654265</v>
      </c>
      <c r="C796" s="302">
        <v>0.50380690024030628</v>
      </c>
      <c r="D796" s="302">
        <v>0.30300007165502202</v>
      </c>
      <c r="E796" s="302">
        <f t="shared" si="343"/>
        <v>3.3235152483607546</v>
      </c>
      <c r="F796" s="303"/>
      <c r="G796" s="302">
        <v>1.9830876303928384</v>
      </c>
      <c r="H796" s="302">
        <v>0.58457630804837235</v>
      </c>
      <c r="I796" s="302">
        <v>0.28524809516333688</v>
      </c>
      <c r="J796" s="302">
        <f t="shared" ref="J796:J799" si="346">SUM(G796:I796)</f>
        <v>2.8529120336045475</v>
      </c>
      <c r="K796" s="303"/>
      <c r="L796" s="302">
        <v>2.6032811781085266</v>
      </c>
      <c r="M796" s="302">
        <v>0.71038041728055323</v>
      </c>
      <c r="N796" s="302">
        <v>0.42418221761591002</v>
      </c>
      <c r="O796" s="302">
        <f t="shared" si="345"/>
        <v>3.7378438130049902</v>
      </c>
    </row>
    <row r="797" spans="1:15" s="236" customFormat="1" x14ac:dyDescent="0.3">
      <c r="A797" s="237" t="str">
        <f>name!E$10</f>
        <v>Sales and customer service occupations</v>
      </c>
      <c r="B797" s="302">
        <v>3.0125339091113412</v>
      </c>
      <c r="C797" s="302">
        <v>0.42922777933881345</v>
      </c>
      <c r="D797" s="302">
        <v>0.15612881471024734</v>
      </c>
      <c r="E797" s="302">
        <f t="shared" si="343"/>
        <v>3.5978905031604023</v>
      </c>
      <c r="F797" s="303"/>
      <c r="G797" s="302">
        <v>2.437894661098488</v>
      </c>
      <c r="H797" s="302">
        <v>0.60487494763022187</v>
      </c>
      <c r="I797" s="302">
        <v>8.5031953880070885E-2</v>
      </c>
      <c r="J797" s="302">
        <f t="shared" si="346"/>
        <v>3.1278015626087807</v>
      </c>
      <c r="K797" s="303"/>
      <c r="L797" s="302">
        <v>3.0763100917923811</v>
      </c>
      <c r="M797" s="302">
        <v>1.0131703305384929</v>
      </c>
      <c r="N797" s="302">
        <v>8.2557763044133273E-2</v>
      </c>
      <c r="O797" s="302">
        <f t="shared" si="345"/>
        <v>4.1720381853750075</v>
      </c>
    </row>
    <row r="798" spans="1:15" s="236" customFormat="1" x14ac:dyDescent="0.3">
      <c r="A798" s="237" t="str">
        <f>name!E$11</f>
        <v>Process, plant and machine operatives</v>
      </c>
      <c r="B798" s="302">
        <v>1.0203508302717319</v>
      </c>
      <c r="C798" s="302">
        <v>0.24762931525996829</v>
      </c>
      <c r="D798" s="302">
        <v>0.22000526294567282</v>
      </c>
      <c r="E798" s="302">
        <f t="shared" si="343"/>
        <v>1.4879854084773729</v>
      </c>
      <c r="F798" s="303"/>
      <c r="G798" s="302">
        <v>0.61405477023158639</v>
      </c>
      <c r="H798" s="302">
        <v>0.42212242034238384</v>
      </c>
      <c r="I798" s="302">
        <v>0.18617078010613852</v>
      </c>
      <c r="J798" s="302">
        <f t="shared" si="346"/>
        <v>1.2223479706801088</v>
      </c>
      <c r="K798" s="303"/>
      <c r="L798" s="302">
        <v>0.67492533732797244</v>
      </c>
      <c r="M798" s="302">
        <v>0.55292601729521651</v>
      </c>
      <c r="N798" s="302">
        <v>0.27802900903789324</v>
      </c>
      <c r="O798" s="302">
        <f t="shared" si="345"/>
        <v>1.505880363661082</v>
      </c>
    </row>
    <row r="799" spans="1:15" s="236" customFormat="1" x14ac:dyDescent="0.3">
      <c r="A799" s="237" t="str">
        <f>name!E$12</f>
        <v>Elementary occupations</v>
      </c>
      <c r="B799" s="302">
        <v>6.3292012668394246</v>
      </c>
      <c r="C799" s="302">
        <v>2.4249438726017543</v>
      </c>
      <c r="D799" s="302">
        <v>1.1091483840647056</v>
      </c>
      <c r="E799" s="302">
        <f t="shared" si="343"/>
        <v>9.8632935235058845</v>
      </c>
      <c r="F799" s="303"/>
      <c r="G799" s="302">
        <v>4.3640746876811782</v>
      </c>
      <c r="H799" s="302">
        <v>2.5892172929379509</v>
      </c>
      <c r="I799" s="302">
        <v>0.7609922550618694</v>
      </c>
      <c r="J799" s="302">
        <f t="shared" si="346"/>
        <v>7.7142842356809984</v>
      </c>
      <c r="K799" s="303"/>
      <c r="L799" s="302">
        <v>5.0551117421875444</v>
      </c>
      <c r="M799" s="302">
        <v>2.0815833181162819</v>
      </c>
      <c r="N799" s="302">
        <v>1.1264760787462889</v>
      </c>
      <c r="O799" s="302">
        <f t="shared" si="345"/>
        <v>8.2631711390501152</v>
      </c>
    </row>
    <row r="800" spans="1:15" s="236" customFormat="1" x14ac:dyDescent="0.3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3">
      <c r="A801" s="244" t="s">
        <v>32</v>
      </c>
      <c r="B801" s="311">
        <f>SUM(B791:B799)</f>
        <v>78.449999999165442</v>
      </c>
      <c r="C801" s="311">
        <f t="shared" ref="C801:E801" si="347">SUM(C791:C799)</f>
        <v>6.9470000000373728</v>
      </c>
      <c r="D801" s="311">
        <f t="shared" si="347"/>
        <v>7.7740000000911946</v>
      </c>
      <c r="E801" s="311">
        <f t="shared" si="347"/>
        <v>93.170999999294025</v>
      </c>
      <c r="F801" s="311"/>
      <c r="G801" s="311">
        <f t="shared" ref="G801:J801" si="348">SUM(G791:G799)</f>
        <v>74.323999999785201</v>
      </c>
      <c r="H801" s="311">
        <f t="shared" si="348"/>
        <v>8.6720000000104562</v>
      </c>
      <c r="I801" s="311">
        <f t="shared" si="348"/>
        <v>5.9420000000533442</v>
      </c>
      <c r="J801" s="311">
        <f t="shared" si="348"/>
        <v>88.937999999848984</v>
      </c>
      <c r="K801" s="311"/>
      <c r="L801" s="311">
        <f t="shared" ref="L801:O801" si="349">SUM(L791:L799)</f>
        <v>88.215999999950171</v>
      </c>
      <c r="M801" s="311">
        <f t="shared" si="349"/>
        <v>9.8690000000036111</v>
      </c>
      <c r="N801" s="311">
        <f t="shared" si="349"/>
        <v>7.0830000001501459</v>
      </c>
      <c r="O801" s="311">
        <f t="shared" si="349"/>
        <v>105.1680000001039</v>
      </c>
    </row>
    <row r="802" spans="1:15" s="236" customFormat="1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3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3">
      <c r="A805" s="241" t="str">
        <f>name!A50</f>
        <v>Financial services</v>
      </c>
      <c r="B805" s="375">
        <f>$B$6</f>
        <v>2015</v>
      </c>
      <c r="C805" s="375"/>
      <c r="D805" s="375"/>
      <c r="E805" s="375"/>
      <c r="F805" s="263"/>
      <c r="G805" s="375">
        <f>$G$6</f>
        <v>2020</v>
      </c>
      <c r="H805" s="375"/>
      <c r="I805" s="375"/>
      <c r="J805" s="375"/>
      <c r="K805" s="263"/>
      <c r="L805" s="375">
        <f>$L$6</f>
        <v>2035</v>
      </c>
      <c r="M805" s="375"/>
      <c r="N805" s="375"/>
      <c r="O805" s="375"/>
    </row>
    <row r="806" spans="1:15" s="236" customFormat="1" x14ac:dyDescent="0.3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3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3">
      <c r="A808" s="237" t="str">
        <f>name!E$4</f>
        <v>Managers, directors and senior officials</v>
      </c>
      <c r="B808" s="302">
        <v>74.104635585026131</v>
      </c>
      <c r="C808" s="302">
        <v>6.1172387429386692</v>
      </c>
      <c r="D808" s="302">
        <v>4.9705356685119133</v>
      </c>
      <c r="E808" s="302">
        <f>SUM(B808:D808)</f>
        <v>85.192409996476712</v>
      </c>
      <c r="F808" s="303"/>
      <c r="G808" s="302">
        <v>76.2924138160284</v>
      </c>
      <c r="H808" s="302">
        <v>7.7709566681538238</v>
      </c>
      <c r="I808" s="302">
        <v>2.6785259021372432</v>
      </c>
      <c r="J808" s="302">
        <f>SUM(G808:I808)</f>
        <v>86.741896386319468</v>
      </c>
      <c r="K808" s="303"/>
      <c r="L808" s="302">
        <v>74.07950224329025</v>
      </c>
      <c r="M808" s="302">
        <v>9.4783633908482425</v>
      </c>
      <c r="N808" s="302">
        <v>2.710654151285143</v>
      </c>
      <c r="O808" s="302">
        <f>SUM(L808:N808)</f>
        <v>86.268519785423635</v>
      </c>
    </row>
    <row r="809" spans="1:15" s="236" customFormat="1" x14ac:dyDescent="0.3">
      <c r="A809" s="237" t="str">
        <f>name!E$5</f>
        <v>Professional occupations</v>
      </c>
      <c r="B809" s="302">
        <v>80.692139270295371</v>
      </c>
      <c r="C809" s="302">
        <v>3.7920031597223938</v>
      </c>
      <c r="D809" s="302">
        <v>9.4935720890443562</v>
      </c>
      <c r="E809" s="302">
        <f t="shared" ref="E809:E816" si="350">SUM(B809:D809)</f>
        <v>93.977714519062118</v>
      </c>
      <c r="F809" s="303"/>
      <c r="G809" s="302">
        <v>95.930555927420514</v>
      </c>
      <c r="H809" s="302">
        <v>4.4794537957354281</v>
      </c>
      <c r="I809" s="302">
        <v>3.4006294474363523</v>
      </c>
      <c r="J809" s="302">
        <f t="shared" ref="J809:J811" si="351">SUM(G809:I809)</f>
        <v>103.8106391705923</v>
      </c>
      <c r="K809" s="303"/>
      <c r="L809" s="302">
        <v>112.04650540571306</v>
      </c>
      <c r="M809" s="302">
        <v>5.4155332119159407</v>
      </c>
      <c r="N809" s="302">
        <v>2.9559055389197701</v>
      </c>
      <c r="O809" s="302">
        <f t="shared" ref="O809:O816" si="352">SUM(L809:N809)</f>
        <v>120.41794415654877</v>
      </c>
    </row>
    <row r="810" spans="1:15" s="236" customFormat="1" x14ac:dyDescent="0.3">
      <c r="A810" s="237" t="str">
        <f>name!E$6</f>
        <v>Associate professional occupations</v>
      </c>
      <c r="B810" s="302">
        <v>76.088064595192577</v>
      </c>
      <c r="C810" s="302">
        <v>8.6001415375221519</v>
      </c>
      <c r="D810" s="302">
        <v>5.6449913385884303</v>
      </c>
      <c r="E810" s="302">
        <f t="shared" si="350"/>
        <v>90.333197471303151</v>
      </c>
      <c r="F810" s="303"/>
      <c r="G810" s="302">
        <v>79.271674987565973</v>
      </c>
      <c r="H810" s="302">
        <v>8.1363230159685962</v>
      </c>
      <c r="I810" s="302">
        <v>2.3699933486176317</v>
      </c>
      <c r="J810" s="302">
        <f t="shared" si="351"/>
        <v>89.777991352152199</v>
      </c>
      <c r="K810" s="303"/>
      <c r="L810" s="302">
        <v>73.22508726015225</v>
      </c>
      <c r="M810" s="302">
        <v>8.7951541024773991</v>
      </c>
      <c r="N810" s="302">
        <v>1.9006963442466966</v>
      </c>
      <c r="O810" s="302">
        <f t="shared" si="352"/>
        <v>83.920937706876344</v>
      </c>
    </row>
    <row r="811" spans="1:15" s="236" customFormat="1" x14ac:dyDescent="0.3">
      <c r="A811" s="237" t="str">
        <f>name!E$7</f>
        <v>Administrative and secretarial occupations</v>
      </c>
      <c r="B811" s="302">
        <v>91.54557201384317</v>
      </c>
      <c r="C811" s="302">
        <v>42.530534297527879</v>
      </c>
      <c r="D811" s="302">
        <v>1.216963135714098</v>
      </c>
      <c r="E811" s="302">
        <f t="shared" si="350"/>
        <v>135.29306944708517</v>
      </c>
      <c r="F811" s="303"/>
      <c r="G811" s="302">
        <v>82.866335251689463</v>
      </c>
      <c r="H811" s="302">
        <v>35.466525413610398</v>
      </c>
      <c r="I811" s="302">
        <v>0.40301023166659761</v>
      </c>
      <c r="J811" s="302">
        <f t="shared" si="351"/>
        <v>118.73587089696646</v>
      </c>
      <c r="K811" s="303"/>
      <c r="L811" s="302">
        <v>66.882393855715705</v>
      </c>
      <c r="M811" s="302">
        <v>28.026244455701054</v>
      </c>
      <c r="N811" s="302">
        <v>0.43045521305614848</v>
      </c>
      <c r="O811" s="302">
        <f t="shared" si="352"/>
        <v>95.339093524472901</v>
      </c>
    </row>
    <row r="812" spans="1:15" s="236" customFormat="1" x14ac:dyDescent="0.3">
      <c r="A812" s="237" t="str">
        <f>name!E$8</f>
        <v>Skilled trades occupations</v>
      </c>
      <c r="B812" s="302">
        <v>4.4439077530043356</v>
      </c>
      <c r="C812" s="302">
        <v>0.36113278011758948</v>
      </c>
      <c r="D812" s="302">
        <v>1.2211691547869483</v>
      </c>
      <c r="E812" s="302">
        <f t="shared" si="350"/>
        <v>6.0262096879088736</v>
      </c>
      <c r="F812" s="303"/>
      <c r="G812" s="302">
        <v>3.2500110626892686</v>
      </c>
      <c r="H812" s="302">
        <v>0.21937704858600385</v>
      </c>
      <c r="I812" s="302">
        <v>0.40034855611627651</v>
      </c>
      <c r="J812" s="302">
        <f>SUM(G812:I812)</f>
        <v>3.8697366673915488</v>
      </c>
      <c r="K812" s="303"/>
      <c r="L812" s="302">
        <v>3.1562324790333927</v>
      </c>
      <c r="M812" s="302">
        <v>0.4112237337283059</v>
      </c>
      <c r="N812" s="302">
        <v>0.4373789158269405</v>
      </c>
      <c r="O812" s="302">
        <f t="shared" si="352"/>
        <v>4.0048351285886392</v>
      </c>
    </row>
    <row r="813" spans="1:15" s="236" customFormat="1" x14ac:dyDescent="0.3">
      <c r="A813" s="237" t="str">
        <f>name!E$9</f>
        <v>Caring, leisure and other service occupations</v>
      </c>
      <c r="B813" s="302">
        <v>0.75385349528695045</v>
      </c>
      <c r="C813" s="302">
        <v>0.21453978033386842</v>
      </c>
      <c r="D813" s="302">
        <v>0.36060863998580933</v>
      </c>
      <c r="E813" s="302">
        <f t="shared" si="350"/>
        <v>1.3290019156066282</v>
      </c>
      <c r="F813" s="303"/>
      <c r="G813" s="302">
        <v>0.66335107732132292</v>
      </c>
      <c r="H813" s="302">
        <v>0.16155873329110945</v>
      </c>
      <c r="I813" s="302">
        <v>0.21603574280184284</v>
      </c>
      <c r="J813" s="302">
        <f t="shared" ref="J813:J816" si="353">SUM(G813:I813)</f>
        <v>1.0409455534142753</v>
      </c>
      <c r="K813" s="303"/>
      <c r="L813" s="302">
        <v>0.67594362186888557</v>
      </c>
      <c r="M813" s="302">
        <v>0.14631208242605825</v>
      </c>
      <c r="N813" s="302">
        <v>0.308614199247978</v>
      </c>
      <c r="O813" s="302">
        <f t="shared" si="352"/>
        <v>1.1308699035429219</v>
      </c>
    </row>
    <row r="814" spans="1:15" s="236" customFormat="1" x14ac:dyDescent="0.3">
      <c r="A814" s="237" t="str">
        <f>name!E$10</f>
        <v>Sales and customer service occupations</v>
      </c>
      <c r="B814" s="302">
        <v>19.335186065159956</v>
      </c>
      <c r="C814" s="302">
        <v>11.114078506090516</v>
      </c>
      <c r="D814" s="302">
        <v>4.3118625084942348</v>
      </c>
      <c r="E814" s="302">
        <f t="shared" si="350"/>
        <v>34.76112707974471</v>
      </c>
      <c r="F814" s="303"/>
      <c r="G814" s="302">
        <v>16.903738537133915</v>
      </c>
      <c r="H814" s="302">
        <v>10.241978221144914</v>
      </c>
      <c r="I814" s="302">
        <v>1.6867726788419271</v>
      </c>
      <c r="J814" s="302">
        <f t="shared" si="353"/>
        <v>28.832489437120756</v>
      </c>
      <c r="K814" s="303"/>
      <c r="L814" s="302">
        <v>18.944502383500208</v>
      </c>
      <c r="M814" s="302">
        <v>12.019725508964457</v>
      </c>
      <c r="N814" s="302">
        <v>1.3699035835689519</v>
      </c>
      <c r="O814" s="302">
        <f t="shared" si="352"/>
        <v>32.334131476033612</v>
      </c>
    </row>
    <row r="815" spans="1:15" s="236" customFormat="1" x14ac:dyDescent="0.3">
      <c r="A815" s="237" t="str">
        <f>name!E$11</f>
        <v>Process, plant and machine operatives</v>
      </c>
      <c r="B815" s="302">
        <v>1.3497583281568981</v>
      </c>
      <c r="C815" s="302">
        <v>0.22265310910775746</v>
      </c>
      <c r="D815" s="302">
        <v>0.46455413856539163</v>
      </c>
      <c r="E815" s="302">
        <f t="shared" si="350"/>
        <v>2.0369655758300471</v>
      </c>
      <c r="F815" s="303"/>
      <c r="G815" s="302">
        <v>0.94924826092944747</v>
      </c>
      <c r="H815" s="302">
        <v>0.17089369119057776</v>
      </c>
      <c r="I815" s="302">
        <v>0.18643645274324666</v>
      </c>
      <c r="J815" s="302">
        <f t="shared" si="353"/>
        <v>1.306578404863272</v>
      </c>
      <c r="K815" s="303"/>
      <c r="L815" s="302">
        <v>0.9628707639596501</v>
      </c>
      <c r="M815" s="302">
        <v>0.28288581086714037</v>
      </c>
      <c r="N815" s="302">
        <v>0.25897294328966597</v>
      </c>
      <c r="O815" s="302">
        <f t="shared" si="352"/>
        <v>1.5047295181164564</v>
      </c>
    </row>
    <row r="816" spans="1:15" s="236" customFormat="1" x14ac:dyDescent="0.3">
      <c r="A816" s="237" t="str">
        <f>name!E$12</f>
        <v>Elementary occupations</v>
      </c>
      <c r="B816" s="302">
        <v>3.0808828892065265</v>
      </c>
      <c r="C816" s="302">
        <v>0.72467808699245528</v>
      </c>
      <c r="D816" s="302">
        <v>0.7947433267108045</v>
      </c>
      <c r="E816" s="302">
        <f t="shared" si="350"/>
        <v>4.6003043029097865</v>
      </c>
      <c r="F816" s="303"/>
      <c r="G816" s="302">
        <v>2.2426710775493039</v>
      </c>
      <c r="H816" s="302">
        <v>0.47593341255891297</v>
      </c>
      <c r="I816" s="302">
        <v>0.33024763977907912</v>
      </c>
      <c r="J816" s="302">
        <f t="shared" si="353"/>
        <v>3.0488521298872961</v>
      </c>
      <c r="K816" s="303"/>
      <c r="L816" s="302">
        <v>2.0139619886168902</v>
      </c>
      <c r="M816" s="302">
        <v>0.36455770292444212</v>
      </c>
      <c r="N816" s="302">
        <v>0.34541911088075006</v>
      </c>
      <c r="O816" s="302">
        <f t="shared" si="352"/>
        <v>2.7239388024220825</v>
      </c>
    </row>
    <row r="817" spans="1:15" s="236" customFormat="1" x14ac:dyDescent="0.3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3">
      <c r="A818" s="244" t="s">
        <v>32</v>
      </c>
      <c r="B818" s="311">
        <f>SUM(B808:B816)</f>
        <v>351.3939999951719</v>
      </c>
      <c r="C818" s="311">
        <f t="shared" ref="C818:E818" si="354">SUM(C808:C816)</f>
        <v>73.677000000353274</v>
      </c>
      <c r="D818" s="311">
        <f t="shared" si="354"/>
        <v>28.479000000401985</v>
      </c>
      <c r="E818" s="311">
        <f t="shared" si="354"/>
        <v>453.54999999592718</v>
      </c>
      <c r="F818" s="311"/>
      <c r="G818" s="311">
        <f t="shared" ref="G818:J818" si="355">SUM(G808:G816)</f>
        <v>358.36999999832756</v>
      </c>
      <c r="H818" s="311">
        <f t="shared" si="355"/>
        <v>67.12300000023977</v>
      </c>
      <c r="I818" s="311">
        <f t="shared" si="355"/>
        <v>11.672000000140194</v>
      </c>
      <c r="J818" s="311">
        <f t="shared" si="355"/>
        <v>437.16499999870757</v>
      </c>
      <c r="K818" s="311"/>
      <c r="L818" s="311">
        <f t="shared" ref="L818:O818" si="356">SUM(L808:L816)</f>
        <v>351.98700000185028</v>
      </c>
      <c r="M818" s="311">
        <f t="shared" si="356"/>
        <v>64.939999999853043</v>
      </c>
      <c r="N818" s="311">
        <f t="shared" si="356"/>
        <v>10.718000000322046</v>
      </c>
      <c r="O818" s="311">
        <f t="shared" si="356"/>
        <v>427.64500000202537</v>
      </c>
    </row>
    <row r="819" spans="1:15" s="236" customFormat="1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3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3">
      <c r="A822" s="241" t="str">
        <f>name!A51</f>
        <v>Insurance and pensions</v>
      </c>
      <c r="B822" s="375">
        <f>$B$6</f>
        <v>2015</v>
      </c>
      <c r="C822" s="375"/>
      <c r="D822" s="375"/>
      <c r="E822" s="375"/>
      <c r="F822" s="263"/>
      <c r="G822" s="375">
        <f>$G$6</f>
        <v>2020</v>
      </c>
      <c r="H822" s="375"/>
      <c r="I822" s="375"/>
      <c r="J822" s="375"/>
      <c r="K822" s="263"/>
      <c r="L822" s="375">
        <f>$L$6</f>
        <v>2035</v>
      </c>
      <c r="M822" s="375"/>
      <c r="N822" s="375"/>
      <c r="O822" s="375"/>
    </row>
    <row r="823" spans="1:15" s="236" customFormat="1" x14ac:dyDescent="0.3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3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3">
      <c r="A825" s="237" t="str">
        <f>name!E$4</f>
        <v>Managers, directors and senior officials</v>
      </c>
      <c r="B825" s="302">
        <v>10.217579193314341</v>
      </c>
      <c r="C825" s="302">
        <v>0.75143269818014513</v>
      </c>
      <c r="D825" s="302">
        <v>0.79001793825335864</v>
      </c>
      <c r="E825" s="302">
        <f>SUM(B825:D825)</f>
        <v>11.759029829747844</v>
      </c>
      <c r="F825" s="303"/>
      <c r="G825" s="302">
        <v>12.247165255120652</v>
      </c>
      <c r="H825" s="302">
        <v>0.97722807007755197</v>
      </c>
      <c r="I825" s="302">
        <v>0.50589261494479776</v>
      </c>
      <c r="J825" s="302">
        <f>SUM(G825:I825)</f>
        <v>13.730285940143002</v>
      </c>
      <c r="K825" s="303"/>
      <c r="L825" s="302">
        <v>12.015608612654978</v>
      </c>
      <c r="M825" s="302">
        <v>1.0786935011668313</v>
      </c>
      <c r="N825" s="302">
        <v>0.36504047772112275</v>
      </c>
      <c r="O825" s="302">
        <f>SUM(L825:N825)</f>
        <v>13.459342591542933</v>
      </c>
    </row>
    <row r="826" spans="1:15" s="236" customFormat="1" x14ac:dyDescent="0.3">
      <c r="A826" s="237" t="str">
        <f>name!E$5</f>
        <v>Professional occupations</v>
      </c>
      <c r="B826" s="302">
        <v>19.783317758574313</v>
      </c>
      <c r="C826" s="302">
        <v>1.2035979398295393</v>
      </c>
      <c r="D826" s="302">
        <v>0.84113117135984861</v>
      </c>
      <c r="E826" s="302">
        <f t="shared" ref="E826:E833" si="357">SUM(B826:D826)</f>
        <v>21.8280468697637</v>
      </c>
      <c r="F826" s="303"/>
      <c r="G826" s="302">
        <v>28.01412718063732</v>
      </c>
      <c r="H826" s="302">
        <v>1.3984744460888006</v>
      </c>
      <c r="I826" s="302">
        <v>0.47314808711060957</v>
      </c>
      <c r="J826" s="302">
        <f t="shared" ref="J826:J828" si="358">SUM(G826:I826)</f>
        <v>29.885749713836731</v>
      </c>
      <c r="K826" s="303"/>
      <c r="L826" s="302">
        <v>32.465734035611902</v>
      </c>
      <c r="M826" s="302">
        <v>1.4872467031480323</v>
      </c>
      <c r="N826" s="302">
        <v>0.29792938586496298</v>
      </c>
      <c r="O826" s="302">
        <f t="shared" ref="O826:O833" si="359">SUM(L826:N826)</f>
        <v>34.250910124624895</v>
      </c>
    </row>
    <row r="827" spans="1:15" s="236" customFormat="1" x14ac:dyDescent="0.3">
      <c r="A827" s="237" t="str">
        <f>name!E$6</f>
        <v>Associate professional occupations</v>
      </c>
      <c r="B827" s="302">
        <v>19.901660065689999</v>
      </c>
      <c r="C827" s="302">
        <v>2.4216269354445559</v>
      </c>
      <c r="D827" s="302">
        <v>1.6461812831530533</v>
      </c>
      <c r="E827" s="302">
        <f t="shared" si="357"/>
        <v>23.969468284287608</v>
      </c>
      <c r="F827" s="303"/>
      <c r="G827" s="302">
        <v>24.513005283677725</v>
      </c>
      <c r="H827" s="302">
        <v>2.4192196027299517</v>
      </c>
      <c r="I827" s="302">
        <v>0.79284731094680638</v>
      </c>
      <c r="J827" s="302">
        <f t="shared" si="358"/>
        <v>27.725072197354486</v>
      </c>
      <c r="K827" s="303"/>
      <c r="L827" s="302">
        <v>21.846112400702193</v>
      </c>
      <c r="M827" s="302">
        <v>2.4147294186093666</v>
      </c>
      <c r="N827" s="302">
        <v>0.39862671766533275</v>
      </c>
      <c r="O827" s="302">
        <f t="shared" si="359"/>
        <v>24.659468536976892</v>
      </c>
    </row>
    <row r="828" spans="1:15" s="236" customFormat="1" x14ac:dyDescent="0.3">
      <c r="A828" s="237" t="str">
        <f>name!E$7</f>
        <v>Administrative and secretarial occupations</v>
      </c>
      <c r="B828" s="302">
        <v>23.439756158653989</v>
      </c>
      <c r="C828" s="302">
        <v>3.5349703754585797</v>
      </c>
      <c r="D828" s="302">
        <v>0.58887229202686742</v>
      </c>
      <c r="E828" s="302">
        <f t="shared" si="357"/>
        <v>27.563598826139437</v>
      </c>
      <c r="F828" s="303"/>
      <c r="G828" s="302">
        <v>24.327067202890809</v>
      </c>
      <c r="H828" s="302">
        <v>3.0319424781747117</v>
      </c>
      <c r="I828" s="302">
        <v>0.2371532085549766</v>
      </c>
      <c r="J828" s="302">
        <f t="shared" si="358"/>
        <v>27.596162889620498</v>
      </c>
      <c r="K828" s="303"/>
      <c r="L828" s="302">
        <v>17.801160996276792</v>
      </c>
      <c r="M828" s="302">
        <v>2.1394115416125969</v>
      </c>
      <c r="N828" s="302">
        <v>0.19067950912567777</v>
      </c>
      <c r="O828" s="302">
        <f t="shared" si="359"/>
        <v>20.131252047015064</v>
      </c>
    </row>
    <row r="829" spans="1:15" s="236" customFormat="1" x14ac:dyDescent="0.3">
      <c r="A829" s="237" t="str">
        <f>name!E$8</f>
        <v>Skilled trades occupations</v>
      </c>
      <c r="B829" s="302">
        <v>1.3024300983239923</v>
      </c>
      <c r="C829" s="302">
        <v>0.12710102795003511</v>
      </c>
      <c r="D829" s="302">
        <v>1.2774068338337623</v>
      </c>
      <c r="E829" s="302">
        <f t="shared" si="357"/>
        <v>2.7069379601077896</v>
      </c>
      <c r="F829" s="303"/>
      <c r="G829" s="302">
        <v>1.2449211176007393</v>
      </c>
      <c r="H829" s="302">
        <v>8.3869701748428782E-2</v>
      </c>
      <c r="I829" s="302">
        <v>0.62238710375886863</v>
      </c>
      <c r="J829" s="302">
        <f>SUM(G829:I829)</f>
        <v>1.9511779231080368</v>
      </c>
      <c r="K829" s="303"/>
      <c r="L829" s="302">
        <v>1.2483465449100111</v>
      </c>
      <c r="M829" s="302">
        <v>9.3970920123075952E-2</v>
      </c>
      <c r="N829" s="302">
        <v>0.5268077161824003</v>
      </c>
      <c r="O829" s="302">
        <f t="shared" si="359"/>
        <v>1.8691251812154874</v>
      </c>
    </row>
    <row r="830" spans="1:15" s="236" customFormat="1" x14ac:dyDescent="0.3">
      <c r="A830" s="237" t="str">
        <f>name!E$9</f>
        <v>Caring, leisure and other service occupations</v>
      </c>
      <c r="B830" s="302">
        <v>2.9008661847792037</v>
      </c>
      <c r="C830" s="302">
        <v>8.0801822054425959E-2</v>
      </c>
      <c r="D830" s="302">
        <v>7.4150824725446693E-2</v>
      </c>
      <c r="E830" s="302">
        <f t="shared" si="357"/>
        <v>3.0558188315590762</v>
      </c>
      <c r="F830" s="303"/>
      <c r="G830" s="302">
        <v>3.0859605193075028</v>
      </c>
      <c r="H830" s="302">
        <v>7.0078444646916274E-2</v>
      </c>
      <c r="I830" s="302">
        <v>0.1030798848735681</v>
      </c>
      <c r="J830" s="302">
        <f t="shared" ref="J830:J833" si="360">SUM(G830:I830)</f>
        <v>3.259118848827987</v>
      </c>
      <c r="K830" s="303"/>
      <c r="L830" s="302">
        <v>3.5014149058336588</v>
      </c>
      <c r="M830" s="302">
        <v>5.6640474727515953E-2</v>
      </c>
      <c r="N830" s="302">
        <v>6.1581453550037454E-2</v>
      </c>
      <c r="O830" s="302">
        <f t="shared" si="359"/>
        <v>3.619636834111212</v>
      </c>
    </row>
    <row r="831" spans="1:15" s="236" customFormat="1" x14ac:dyDescent="0.3">
      <c r="A831" s="237" t="str">
        <f>name!E$10</f>
        <v>Sales and customer service occupations</v>
      </c>
      <c r="B831" s="302">
        <v>9.8464911877356993</v>
      </c>
      <c r="C831" s="302">
        <v>2.3960515619329228</v>
      </c>
      <c r="D831" s="302">
        <v>0.67202758754678038</v>
      </c>
      <c r="E831" s="302">
        <f t="shared" si="357"/>
        <v>12.914570337215403</v>
      </c>
      <c r="F831" s="303"/>
      <c r="G831" s="302">
        <v>10.064229957224107</v>
      </c>
      <c r="H831" s="302">
        <v>2.2455057173485886</v>
      </c>
      <c r="I831" s="302">
        <v>0.25595169196625545</v>
      </c>
      <c r="J831" s="302">
        <f t="shared" si="360"/>
        <v>12.565687366538953</v>
      </c>
      <c r="K831" s="303"/>
      <c r="L831" s="302">
        <v>10.254438590957276</v>
      </c>
      <c r="M831" s="302">
        <v>2.4589159960793432</v>
      </c>
      <c r="N831" s="302">
        <v>0.16074078190566451</v>
      </c>
      <c r="O831" s="302">
        <f t="shared" si="359"/>
        <v>12.874095368942283</v>
      </c>
    </row>
    <row r="832" spans="1:15" s="236" customFormat="1" x14ac:dyDescent="0.3">
      <c r="A832" s="237" t="str">
        <f>name!E$11</f>
        <v>Process, plant and machine operatives</v>
      </c>
      <c r="B832" s="302">
        <v>0.45189983513079945</v>
      </c>
      <c r="C832" s="302">
        <v>6.66260310978804E-2</v>
      </c>
      <c r="D832" s="302">
        <v>0.10268218536698669</v>
      </c>
      <c r="E832" s="302">
        <f t="shared" si="357"/>
        <v>0.6212080515956665</v>
      </c>
      <c r="F832" s="303"/>
      <c r="G832" s="302">
        <v>0.3719586754643216</v>
      </c>
      <c r="H832" s="302">
        <v>5.3429541403094895E-2</v>
      </c>
      <c r="I832" s="302">
        <v>6.9510244255911346E-2</v>
      </c>
      <c r="J832" s="302">
        <f t="shared" si="360"/>
        <v>0.49489846112332786</v>
      </c>
      <c r="K832" s="303"/>
      <c r="L832" s="302">
        <v>0.355529076420945</v>
      </c>
      <c r="M832" s="302">
        <v>9.1873714425765321E-2</v>
      </c>
      <c r="N832" s="302">
        <v>6.7606042551520959E-2</v>
      </c>
      <c r="O832" s="302">
        <f t="shared" si="359"/>
        <v>0.51500883339823122</v>
      </c>
    </row>
    <row r="833" spans="1:15" s="236" customFormat="1" x14ac:dyDescent="0.3">
      <c r="A833" s="237" t="str">
        <f>name!E$12</f>
        <v>Elementary occupations</v>
      </c>
      <c r="B833" s="302">
        <v>1.0219995168383571</v>
      </c>
      <c r="C833" s="302">
        <v>0.32079160810359247</v>
      </c>
      <c r="D833" s="302">
        <v>9.8529883797340262E-2</v>
      </c>
      <c r="E833" s="302">
        <f t="shared" si="357"/>
        <v>1.4413210087392898</v>
      </c>
      <c r="F833" s="303"/>
      <c r="G833" s="302">
        <v>0.86356480739502139</v>
      </c>
      <c r="H833" s="302">
        <v>0.21425199781736987</v>
      </c>
      <c r="I833" s="302">
        <v>7.8029853608603705E-2</v>
      </c>
      <c r="J833" s="302">
        <f t="shared" si="360"/>
        <v>1.155846658820995</v>
      </c>
      <c r="K833" s="303"/>
      <c r="L833" s="302">
        <v>0.73465483680620003</v>
      </c>
      <c r="M833" s="302">
        <v>0.16751773011116786</v>
      </c>
      <c r="N833" s="302">
        <v>6.1987915463374794E-2</v>
      </c>
      <c r="O833" s="302">
        <f t="shared" si="359"/>
        <v>0.9641604823807427</v>
      </c>
    </row>
    <row r="834" spans="1:15" s="236" customFormat="1" x14ac:dyDescent="0.3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3">
      <c r="A835" s="244" t="s">
        <v>32</v>
      </c>
      <c r="B835" s="311">
        <f>SUM(B825:B833)</f>
        <v>88.86599999904071</v>
      </c>
      <c r="C835" s="311">
        <f t="shared" ref="C835:E835" si="361">SUM(C825:C833)</f>
        <v>10.903000000051676</v>
      </c>
      <c r="D835" s="311">
        <f t="shared" si="361"/>
        <v>6.0910000000634437</v>
      </c>
      <c r="E835" s="311">
        <f t="shared" si="361"/>
        <v>105.85999999915583</v>
      </c>
      <c r="F835" s="311"/>
      <c r="G835" s="311">
        <f t="shared" ref="G835:J835" si="362">SUM(G825:G833)</f>
        <v>104.73199999931819</v>
      </c>
      <c r="H835" s="311">
        <f t="shared" si="362"/>
        <v>10.494000000035413</v>
      </c>
      <c r="I835" s="311">
        <f t="shared" si="362"/>
        <v>3.1380000000203974</v>
      </c>
      <c r="J835" s="311">
        <f t="shared" si="362"/>
        <v>118.363999999374</v>
      </c>
      <c r="K835" s="311"/>
      <c r="L835" s="311">
        <f t="shared" ref="L835:O835" si="363">SUM(L825:L833)</f>
        <v>100.22300000017395</v>
      </c>
      <c r="M835" s="311">
        <f t="shared" si="363"/>
        <v>9.9890000000036974</v>
      </c>
      <c r="N835" s="311">
        <f t="shared" si="363"/>
        <v>2.1310000000300939</v>
      </c>
      <c r="O835" s="311">
        <f t="shared" si="363"/>
        <v>112.34300000020774</v>
      </c>
    </row>
    <row r="836" spans="1:15" s="236" customFormat="1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3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3">
      <c r="A839" s="241" t="str">
        <f>name!A52</f>
        <v>Auxiliary financial services</v>
      </c>
      <c r="B839" s="375">
        <f>$B$6</f>
        <v>2015</v>
      </c>
      <c r="C839" s="375"/>
      <c r="D839" s="375"/>
      <c r="E839" s="375"/>
      <c r="F839" s="263"/>
      <c r="G839" s="375">
        <f>$G$6</f>
        <v>2020</v>
      </c>
      <c r="H839" s="375"/>
      <c r="I839" s="375"/>
      <c r="J839" s="375"/>
      <c r="K839" s="263"/>
      <c r="L839" s="375">
        <f>$L$6</f>
        <v>2035</v>
      </c>
      <c r="M839" s="375"/>
      <c r="N839" s="375"/>
      <c r="O839" s="375"/>
    </row>
    <row r="840" spans="1:15" s="236" customFormat="1" x14ac:dyDescent="0.3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3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3">
      <c r="A842" s="237" t="str">
        <f>name!E$4</f>
        <v>Managers, directors and senior officials</v>
      </c>
      <c r="B842" s="302">
        <v>58.770411782820979</v>
      </c>
      <c r="C842" s="302">
        <v>4.0606012220396241</v>
      </c>
      <c r="D842" s="302">
        <v>5.3218253454355002</v>
      </c>
      <c r="E842" s="302">
        <f>SUM(B842:D842)</f>
        <v>68.152838350296108</v>
      </c>
      <c r="F842" s="303"/>
      <c r="G842" s="302">
        <v>63.08183334655763</v>
      </c>
      <c r="H842" s="302">
        <v>5.8997565970955952</v>
      </c>
      <c r="I842" s="302">
        <v>8.2091009857357093</v>
      </c>
      <c r="J842" s="302">
        <f>SUM(G842:I842)</f>
        <v>77.190690929388921</v>
      </c>
      <c r="K842" s="303"/>
      <c r="L842" s="302">
        <v>60.661855164461585</v>
      </c>
      <c r="M842" s="302">
        <v>6.7349821711570677</v>
      </c>
      <c r="N842" s="302">
        <v>9.7461209194653353</v>
      </c>
      <c r="O842" s="302">
        <f>SUM(L842:N842)</f>
        <v>77.142958255083997</v>
      </c>
    </row>
    <row r="843" spans="1:15" s="236" customFormat="1" x14ac:dyDescent="0.3">
      <c r="A843" s="237" t="str">
        <f>name!E$5</f>
        <v>Professional occupations</v>
      </c>
      <c r="B843" s="302">
        <v>76.955974968418047</v>
      </c>
      <c r="C843" s="302">
        <v>3.8291175466237011</v>
      </c>
      <c r="D843" s="302">
        <v>7.6395449289578545</v>
      </c>
      <c r="E843" s="302">
        <f t="shared" ref="E843:E850" si="364">SUM(B843:D843)</f>
        <v>88.424637443999615</v>
      </c>
      <c r="F843" s="303"/>
      <c r="G843" s="302">
        <v>97.651740953594853</v>
      </c>
      <c r="H843" s="302">
        <v>5.233864626320349</v>
      </c>
      <c r="I843" s="302">
        <v>10.493912383528283</v>
      </c>
      <c r="J843" s="302">
        <f t="shared" ref="J843:J845" si="365">SUM(G843:I843)</f>
        <v>113.37951796344349</v>
      </c>
      <c r="K843" s="303"/>
      <c r="L843" s="302">
        <v>115.58676914324181</v>
      </c>
      <c r="M843" s="302">
        <v>5.9865305386506185</v>
      </c>
      <c r="N843" s="302">
        <v>11.778769642501089</v>
      </c>
      <c r="O843" s="302">
        <f t="shared" ref="O843:O850" si="366">SUM(L843:N843)</f>
        <v>133.35206932439351</v>
      </c>
    </row>
    <row r="844" spans="1:15" s="236" customFormat="1" x14ac:dyDescent="0.3">
      <c r="A844" s="237" t="str">
        <f>name!E$6</f>
        <v>Associate professional occupations</v>
      </c>
      <c r="B844" s="302">
        <v>102.25481221003874</v>
      </c>
      <c r="C844" s="302">
        <v>7.9413492046079277</v>
      </c>
      <c r="D844" s="302">
        <v>13.844313027765915</v>
      </c>
      <c r="E844" s="302">
        <f t="shared" si="364"/>
        <v>124.04047444241259</v>
      </c>
      <c r="F844" s="303"/>
      <c r="G844" s="302">
        <v>109.85696687692885</v>
      </c>
      <c r="H844" s="302">
        <v>8.4595729964484025</v>
      </c>
      <c r="I844" s="302">
        <v>17.251056078658493</v>
      </c>
      <c r="J844" s="302">
        <f t="shared" si="365"/>
        <v>135.56759595203573</v>
      </c>
      <c r="K844" s="303"/>
      <c r="L844" s="302">
        <v>102.56087779431897</v>
      </c>
      <c r="M844" s="302">
        <v>9.1006833429621796</v>
      </c>
      <c r="N844" s="302">
        <v>16.847982431673838</v>
      </c>
      <c r="O844" s="302">
        <f t="shared" si="366"/>
        <v>128.509543568955</v>
      </c>
    </row>
    <row r="845" spans="1:15" s="236" customFormat="1" x14ac:dyDescent="0.3">
      <c r="A845" s="237" t="str">
        <f>name!E$7</f>
        <v>Administrative and secretarial occupations</v>
      </c>
      <c r="B845" s="302">
        <v>66.542692128997345</v>
      </c>
      <c r="C845" s="302">
        <v>20.889585421351377</v>
      </c>
      <c r="D845" s="302">
        <v>3.6206369126324827</v>
      </c>
      <c r="E845" s="302">
        <f t="shared" si="364"/>
        <v>91.052914462981192</v>
      </c>
      <c r="F845" s="303"/>
      <c r="G845" s="302">
        <v>61.509074517101553</v>
      </c>
      <c r="H845" s="302">
        <v>19.4967983749493</v>
      </c>
      <c r="I845" s="302">
        <v>3.7283875749384987</v>
      </c>
      <c r="J845" s="302">
        <f t="shared" si="365"/>
        <v>84.734260466989355</v>
      </c>
      <c r="K845" s="303"/>
      <c r="L845" s="302">
        <v>42.369452222705924</v>
      </c>
      <c r="M845" s="302">
        <v>14.568771613906847</v>
      </c>
      <c r="N845" s="302">
        <v>3.1188520008572813</v>
      </c>
      <c r="O845" s="302">
        <f t="shared" si="366"/>
        <v>60.057075837470052</v>
      </c>
    </row>
    <row r="846" spans="1:15" s="236" customFormat="1" x14ac:dyDescent="0.3">
      <c r="A846" s="237" t="str">
        <f>name!E$8</f>
        <v>Skilled trades occupations</v>
      </c>
      <c r="B846" s="302">
        <v>3.8165026681764385</v>
      </c>
      <c r="C846" s="302">
        <v>1.2207259499001701</v>
      </c>
      <c r="D846" s="302">
        <v>2.2351652227256853</v>
      </c>
      <c r="E846" s="302">
        <f t="shared" si="364"/>
        <v>7.2723938408022937</v>
      </c>
      <c r="F846" s="303"/>
      <c r="G846" s="302">
        <v>2.9747507230564443</v>
      </c>
      <c r="H846" s="302">
        <v>0.83242382906492673</v>
      </c>
      <c r="I846" s="302">
        <v>1.9631266164028867</v>
      </c>
      <c r="J846" s="302">
        <f>SUM(G846:I846)</f>
        <v>5.7703011685242576</v>
      </c>
      <c r="K846" s="303"/>
      <c r="L846" s="302">
        <v>2.7618978711717195</v>
      </c>
      <c r="M846" s="302">
        <v>0.77458923538401903</v>
      </c>
      <c r="N846" s="302">
        <v>2.2017431170832502</v>
      </c>
      <c r="O846" s="302">
        <f t="shared" si="366"/>
        <v>5.7382302236389888</v>
      </c>
    </row>
    <row r="847" spans="1:15" s="236" customFormat="1" x14ac:dyDescent="0.3">
      <c r="A847" s="237" t="str">
        <f>name!E$9</f>
        <v>Caring, leisure and other service occupations</v>
      </c>
      <c r="B847" s="302">
        <v>1.3587663679361148</v>
      </c>
      <c r="C847" s="302">
        <v>0.29199799333388149</v>
      </c>
      <c r="D847" s="302">
        <v>1.2940729538170705</v>
      </c>
      <c r="E847" s="302">
        <f t="shared" si="364"/>
        <v>2.9448373150870668</v>
      </c>
      <c r="F847" s="303"/>
      <c r="G847" s="302">
        <v>1.2383547565062616</v>
      </c>
      <c r="H847" s="302">
        <v>0.25533564980405965</v>
      </c>
      <c r="I847" s="302">
        <v>1.4593820720718969</v>
      </c>
      <c r="J847" s="302">
        <f t="shared" ref="J847:J850" si="367">SUM(G847:I847)</f>
        <v>2.953072478382218</v>
      </c>
      <c r="K847" s="303"/>
      <c r="L847" s="302">
        <v>1.4657574528841186</v>
      </c>
      <c r="M847" s="302">
        <v>0.20685629158364363</v>
      </c>
      <c r="N847" s="302">
        <v>2.1417646464575704</v>
      </c>
      <c r="O847" s="302">
        <f t="shared" si="366"/>
        <v>3.8143783909253326</v>
      </c>
    </row>
    <row r="848" spans="1:15" s="236" customFormat="1" x14ac:dyDescent="0.3">
      <c r="A848" s="237" t="str">
        <f>name!E$10</f>
        <v>Sales and customer service occupations</v>
      </c>
      <c r="B848" s="302">
        <v>15.520130816298082</v>
      </c>
      <c r="C848" s="302">
        <v>4.3851615704868099</v>
      </c>
      <c r="D848" s="302">
        <v>2.1278401821067017</v>
      </c>
      <c r="E848" s="302">
        <f t="shared" si="364"/>
        <v>22.033132568891595</v>
      </c>
      <c r="F848" s="303"/>
      <c r="G848" s="302">
        <v>14.165746015769681</v>
      </c>
      <c r="H848" s="302">
        <v>4.7123141619260283</v>
      </c>
      <c r="I848" s="302">
        <v>1.9626013146583559</v>
      </c>
      <c r="J848" s="302">
        <f t="shared" si="367"/>
        <v>20.840661492354066</v>
      </c>
      <c r="K848" s="303"/>
      <c r="L848" s="302">
        <v>15.038119034321504</v>
      </c>
      <c r="M848" s="302">
        <v>5.7121840505822679</v>
      </c>
      <c r="N848" s="302">
        <v>1.8030534376686826</v>
      </c>
      <c r="O848" s="302">
        <f t="shared" si="366"/>
        <v>22.553356522572454</v>
      </c>
    </row>
    <row r="849" spans="1:15" s="236" customFormat="1" x14ac:dyDescent="0.3">
      <c r="A849" s="237" t="str">
        <f>name!E$11</f>
        <v>Process, plant and machine operatives</v>
      </c>
      <c r="B849" s="302">
        <v>2.2939996758446441</v>
      </c>
      <c r="C849" s="302">
        <v>0.31708571528015306</v>
      </c>
      <c r="D849" s="302">
        <v>1.3043375952132237</v>
      </c>
      <c r="E849" s="302">
        <f t="shared" si="364"/>
        <v>3.9154229863380206</v>
      </c>
      <c r="F849" s="303"/>
      <c r="G849" s="302">
        <v>1.6930519931461825</v>
      </c>
      <c r="H849" s="302">
        <v>0.22845471395183664</v>
      </c>
      <c r="I849" s="302">
        <v>2.007545018967392</v>
      </c>
      <c r="J849" s="302">
        <f t="shared" si="367"/>
        <v>3.9290517260654112</v>
      </c>
      <c r="K849" s="303"/>
      <c r="L849" s="302">
        <v>1.9721907073235772</v>
      </c>
      <c r="M849" s="302">
        <v>0.47051701832442655</v>
      </c>
      <c r="N849" s="302">
        <v>3.1197243094170317</v>
      </c>
      <c r="O849" s="302">
        <f t="shared" si="366"/>
        <v>5.5624320350650356</v>
      </c>
    </row>
    <row r="850" spans="1:15" s="236" customFormat="1" x14ac:dyDescent="0.3">
      <c r="A850" s="237" t="str">
        <f>name!E$12</f>
        <v>Elementary occupations</v>
      </c>
      <c r="B850" s="302">
        <v>4.3697093766923114</v>
      </c>
      <c r="C850" s="302">
        <v>1.3603753765125184</v>
      </c>
      <c r="D850" s="302">
        <v>1.2932638318002736</v>
      </c>
      <c r="E850" s="302">
        <f t="shared" si="364"/>
        <v>7.0233485850051034</v>
      </c>
      <c r="F850" s="303"/>
      <c r="G850" s="302">
        <v>3.1804808157461699</v>
      </c>
      <c r="H850" s="302">
        <v>1.0404790505402874</v>
      </c>
      <c r="I850" s="302">
        <v>1.0508879555408308</v>
      </c>
      <c r="J850" s="302">
        <f t="shared" si="367"/>
        <v>5.2718478218272882</v>
      </c>
      <c r="K850" s="303"/>
      <c r="L850" s="302">
        <v>2.8230806109143489</v>
      </c>
      <c r="M850" s="302">
        <v>0.80088573738218838</v>
      </c>
      <c r="N850" s="302">
        <v>1.4389894963530341</v>
      </c>
      <c r="O850" s="302">
        <f t="shared" si="366"/>
        <v>5.0629558446495713</v>
      </c>
    </row>
    <row r="851" spans="1:15" s="236" customFormat="1" x14ac:dyDescent="0.3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3">
      <c r="A852" s="244" t="s">
        <v>32</v>
      </c>
      <c r="B852" s="311">
        <f>SUM(B842:B850)</f>
        <v>331.88299999522275</v>
      </c>
      <c r="C852" s="311">
        <f t="shared" ref="C852:E852" si="368">SUM(C842:C850)</f>
        <v>44.296000000136161</v>
      </c>
      <c r="D852" s="311">
        <f t="shared" si="368"/>
        <v>38.681000000454709</v>
      </c>
      <c r="E852" s="311">
        <f t="shared" si="368"/>
        <v>414.8599999958135</v>
      </c>
      <c r="F852" s="311"/>
      <c r="G852" s="311">
        <f t="shared" ref="G852:J852" si="369">SUM(G842:G850)</f>
        <v>355.35199999840773</v>
      </c>
      <c r="H852" s="311">
        <f t="shared" si="369"/>
        <v>46.159000000100782</v>
      </c>
      <c r="I852" s="311">
        <f t="shared" si="369"/>
        <v>48.126000000502351</v>
      </c>
      <c r="J852" s="311">
        <f t="shared" si="369"/>
        <v>449.63699999901075</v>
      </c>
      <c r="K852" s="311"/>
      <c r="L852" s="311">
        <f t="shared" ref="L852:O852" si="370">SUM(L842:L850)</f>
        <v>345.24000000134356</v>
      </c>
      <c r="M852" s="311">
        <f t="shared" si="370"/>
        <v>44.35599999993326</v>
      </c>
      <c r="N852" s="311">
        <f t="shared" si="370"/>
        <v>52.1970000014771</v>
      </c>
      <c r="O852" s="311">
        <f t="shared" si="370"/>
        <v>441.79300000275401</v>
      </c>
    </row>
    <row r="853" spans="1:15" s="236" customFormat="1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3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3">
      <c r="A856" s="241" t="str">
        <f>name!A53</f>
        <v>Real estate</v>
      </c>
      <c r="B856" s="375">
        <f>$B$6</f>
        <v>2015</v>
      </c>
      <c r="C856" s="375"/>
      <c r="D856" s="375"/>
      <c r="E856" s="375"/>
      <c r="F856" s="263"/>
      <c r="G856" s="375">
        <f>$G$6</f>
        <v>2020</v>
      </c>
      <c r="H856" s="375"/>
      <c r="I856" s="375"/>
      <c r="J856" s="375"/>
      <c r="K856" s="263"/>
      <c r="L856" s="375">
        <f>$L$6</f>
        <v>2035</v>
      </c>
      <c r="M856" s="375"/>
      <c r="N856" s="375"/>
      <c r="O856" s="375"/>
    </row>
    <row r="857" spans="1:15" s="236" customFormat="1" x14ac:dyDescent="0.3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3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3">
      <c r="A859" s="237" t="str">
        <f>name!E$4</f>
        <v>Managers, directors and senior officials</v>
      </c>
      <c r="B859" s="302">
        <v>62.612424372249677</v>
      </c>
      <c r="C859" s="302">
        <v>13.035936882520495</v>
      </c>
      <c r="D859" s="302">
        <v>23.828949627824471</v>
      </c>
      <c r="E859" s="302">
        <f>SUM(B859:D859)</f>
        <v>99.477310882594651</v>
      </c>
      <c r="F859" s="303"/>
      <c r="G859" s="302">
        <v>79.383071871849452</v>
      </c>
      <c r="H859" s="302">
        <v>19.274441723166348</v>
      </c>
      <c r="I859" s="302">
        <v>25.237718663339599</v>
      </c>
      <c r="J859" s="302">
        <f>SUM(G859:I859)</f>
        <v>123.89523225835541</v>
      </c>
      <c r="K859" s="303"/>
      <c r="L859" s="302">
        <v>91.154052330154826</v>
      </c>
      <c r="M859" s="302">
        <v>21.741593225739006</v>
      </c>
      <c r="N859" s="302">
        <v>29.788722657367281</v>
      </c>
      <c r="O859" s="302">
        <f>SUM(L859:N859)</f>
        <v>142.68436821326111</v>
      </c>
    </row>
    <row r="860" spans="1:15" s="236" customFormat="1" x14ac:dyDescent="0.3">
      <c r="A860" s="237" t="str">
        <f>name!E$5</f>
        <v>Professional occupations</v>
      </c>
      <c r="B860" s="302">
        <v>65.977871586344861</v>
      </c>
      <c r="C860" s="302">
        <v>11.331859241336749</v>
      </c>
      <c r="D860" s="302">
        <v>7.5620403292292124</v>
      </c>
      <c r="E860" s="302">
        <f t="shared" ref="E860:E867" si="371">SUM(B860:D860)</f>
        <v>84.871771156910825</v>
      </c>
      <c r="F860" s="303"/>
      <c r="G860" s="302">
        <v>94.727090171224845</v>
      </c>
      <c r="H860" s="302">
        <v>16.621423700474296</v>
      </c>
      <c r="I860" s="302">
        <v>6.8712042487679827</v>
      </c>
      <c r="J860" s="302">
        <f t="shared" ref="J860:J862" si="372">SUM(G860:I860)</f>
        <v>118.21971812046712</v>
      </c>
      <c r="K860" s="303"/>
      <c r="L860" s="302">
        <v>111.35255650156378</v>
      </c>
      <c r="M860" s="302">
        <v>18.541466254378332</v>
      </c>
      <c r="N860" s="302">
        <v>5.0574084955916412</v>
      </c>
      <c r="O860" s="302">
        <f t="shared" ref="O860:O867" si="373">SUM(L860:N860)</f>
        <v>134.95143125153373</v>
      </c>
    </row>
    <row r="861" spans="1:15" s="236" customFormat="1" x14ac:dyDescent="0.3">
      <c r="A861" s="237" t="str">
        <f>name!E$6</f>
        <v>Associate professional occupations</v>
      </c>
      <c r="B861" s="302">
        <v>58.614499530394198</v>
      </c>
      <c r="C861" s="302">
        <v>13.835718987571207</v>
      </c>
      <c r="D861" s="302">
        <v>6.5377828556644104</v>
      </c>
      <c r="E861" s="302">
        <f t="shared" si="371"/>
        <v>78.988001373629828</v>
      </c>
      <c r="F861" s="303"/>
      <c r="G861" s="302">
        <v>75.785761925786503</v>
      </c>
      <c r="H861" s="302">
        <v>17.795171444489338</v>
      </c>
      <c r="I861" s="302">
        <v>5.4301292700808537</v>
      </c>
      <c r="J861" s="302">
        <f t="shared" si="372"/>
        <v>99.011062640356698</v>
      </c>
      <c r="K861" s="303"/>
      <c r="L861" s="302">
        <v>78.58114678303663</v>
      </c>
      <c r="M861" s="302">
        <v>16.656946407077388</v>
      </c>
      <c r="N861" s="302">
        <v>4.5138900624424503</v>
      </c>
      <c r="O861" s="302">
        <f t="shared" si="373"/>
        <v>99.751983252556471</v>
      </c>
    </row>
    <row r="862" spans="1:15" s="236" customFormat="1" x14ac:dyDescent="0.3">
      <c r="A862" s="237" t="str">
        <f>name!E$7</f>
        <v>Administrative and secretarial occupations</v>
      </c>
      <c r="B862" s="302">
        <v>48.521891213351154</v>
      </c>
      <c r="C862" s="302">
        <v>42.471154625773316</v>
      </c>
      <c r="D862" s="302">
        <v>4.2973431128685</v>
      </c>
      <c r="E862" s="302">
        <f t="shared" si="371"/>
        <v>95.290388951992981</v>
      </c>
      <c r="F862" s="303"/>
      <c r="G862" s="302">
        <v>52.767911475357408</v>
      </c>
      <c r="H862" s="302">
        <v>38.817004914336103</v>
      </c>
      <c r="I862" s="302">
        <v>3.9250942875711798</v>
      </c>
      <c r="J862" s="302">
        <f t="shared" si="372"/>
        <v>95.510010677264702</v>
      </c>
      <c r="K862" s="303"/>
      <c r="L862" s="302">
        <v>44.992403862040817</v>
      </c>
      <c r="M862" s="302">
        <v>31.409309239807687</v>
      </c>
      <c r="N862" s="302">
        <v>3.9058234291204346</v>
      </c>
      <c r="O862" s="302">
        <f t="shared" si="373"/>
        <v>80.307536530968932</v>
      </c>
    </row>
    <row r="863" spans="1:15" s="236" customFormat="1" x14ac:dyDescent="0.3">
      <c r="A863" s="237" t="str">
        <f>name!E$8</f>
        <v>Skilled trades occupations</v>
      </c>
      <c r="B863" s="302">
        <v>19.113273400018929</v>
      </c>
      <c r="C863" s="302">
        <v>3.2115863913087024</v>
      </c>
      <c r="D863" s="302">
        <v>15.058346133232034</v>
      </c>
      <c r="E863" s="302">
        <f t="shared" si="371"/>
        <v>37.383205924559668</v>
      </c>
      <c r="F863" s="303"/>
      <c r="G863" s="302">
        <v>18.390249506031445</v>
      </c>
      <c r="H863" s="302">
        <v>3.0882529287989127</v>
      </c>
      <c r="I863" s="302">
        <v>10.813118920254784</v>
      </c>
      <c r="J863" s="302">
        <f>SUM(G863:I863)</f>
        <v>32.291621355085141</v>
      </c>
      <c r="K863" s="303"/>
      <c r="L863" s="302">
        <v>22.016048495863167</v>
      </c>
      <c r="M863" s="302">
        <v>4.978255891380619</v>
      </c>
      <c r="N863" s="302">
        <v>13.322071971657959</v>
      </c>
      <c r="O863" s="302">
        <f t="shared" si="373"/>
        <v>40.316376358901749</v>
      </c>
    </row>
    <row r="864" spans="1:15" s="236" customFormat="1" x14ac:dyDescent="0.3">
      <c r="A864" s="237" t="str">
        <f>name!E$9</f>
        <v>Caring, leisure and other service occupations</v>
      </c>
      <c r="B864" s="302">
        <v>8.809755554092094</v>
      </c>
      <c r="C864" s="302">
        <v>4.5191623712090436</v>
      </c>
      <c r="D864" s="302">
        <v>2.5762597027036325</v>
      </c>
      <c r="E864" s="302">
        <f t="shared" si="371"/>
        <v>15.90517762800477</v>
      </c>
      <c r="F864" s="303"/>
      <c r="G864" s="302">
        <v>9.6990865876565202</v>
      </c>
      <c r="H864" s="302">
        <v>4.4112264759726498</v>
      </c>
      <c r="I864" s="302">
        <v>2.2788761495572674</v>
      </c>
      <c r="J864" s="302">
        <f t="shared" ref="J864:J867" si="374">SUM(G864:I864)</f>
        <v>16.389189213186437</v>
      </c>
      <c r="K864" s="303"/>
      <c r="L864" s="302">
        <v>11.304844939064493</v>
      </c>
      <c r="M864" s="302">
        <v>4.0626830378020076</v>
      </c>
      <c r="N864" s="302">
        <v>4.0416059970136207</v>
      </c>
      <c r="O864" s="302">
        <f t="shared" si="373"/>
        <v>19.409133973880124</v>
      </c>
    </row>
    <row r="865" spans="1:15" s="236" customFormat="1" x14ac:dyDescent="0.3">
      <c r="A865" s="237" t="str">
        <f>name!E$10</f>
        <v>Sales and customer service occupations</v>
      </c>
      <c r="B865" s="302">
        <v>36.164797650143761</v>
      </c>
      <c r="C865" s="302">
        <v>17.046600084195937</v>
      </c>
      <c r="D865" s="302">
        <v>6.3451382123212605</v>
      </c>
      <c r="E865" s="302">
        <f t="shared" si="371"/>
        <v>59.556535946660958</v>
      </c>
      <c r="F865" s="303"/>
      <c r="G865" s="302">
        <v>35.182467887436196</v>
      </c>
      <c r="H865" s="302">
        <v>16.207096687842871</v>
      </c>
      <c r="I865" s="302">
        <v>4.9223425943819956</v>
      </c>
      <c r="J865" s="302">
        <f t="shared" si="374"/>
        <v>56.311907169661062</v>
      </c>
      <c r="K865" s="303"/>
      <c r="L865" s="302">
        <v>36.844529131342732</v>
      </c>
      <c r="M865" s="302">
        <v>16.400551104266068</v>
      </c>
      <c r="N865" s="302">
        <v>4.3193768663754888</v>
      </c>
      <c r="O865" s="302">
        <f t="shared" si="373"/>
        <v>57.564457101984289</v>
      </c>
    </row>
    <row r="866" spans="1:15" s="236" customFormat="1" x14ac:dyDescent="0.3">
      <c r="A866" s="237" t="str">
        <f>name!E$11</f>
        <v>Process, plant and machine operatives</v>
      </c>
      <c r="B866" s="302">
        <v>5.4977257392335108</v>
      </c>
      <c r="C866" s="302">
        <v>0.79811209606172862</v>
      </c>
      <c r="D866" s="302">
        <v>0.59454711011640737</v>
      </c>
      <c r="E866" s="302">
        <f t="shared" si="371"/>
        <v>6.8903849454116468</v>
      </c>
      <c r="F866" s="303"/>
      <c r="G866" s="302">
        <v>5.054377475410595</v>
      </c>
      <c r="H866" s="302">
        <v>0.85839739415779359</v>
      </c>
      <c r="I866" s="302">
        <v>0.60770061157109012</v>
      </c>
      <c r="J866" s="302">
        <f t="shared" si="374"/>
        <v>6.5204754811394787</v>
      </c>
      <c r="K866" s="303"/>
      <c r="L866" s="302">
        <v>4.9846220636806233</v>
      </c>
      <c r="M866" s="302">
        <v>0.95359247123575208</v>
      </c>
      <c r="N866" s="302">
        <v>0.87634715982243938</v>
      </c>
      <c r="O866" s="302">
        <f t="shared" si="373"/>
        <v>6.8145616947388152</v>
      </c>
    </row>
    <row r="867" spans="1:15" s="236" customFormat="1" x14ac:dyDescent="0.3">
      <c r="A867" s="237" t="str">
        <f>name!E$12</f>
        <v>Elementary occupations</v>
      </c>
      <c r="B867" s="302">
        <v>8.5857609514324089</v>
      </c>
      <c r="C867" s="302">
        <v>7.7638693206634812</v>
      </c>
      <c r="D867" s="302">
        <v>4.9965929165572183</v>
      </c>
      <c r="E867" s="302">
        <f t="shared" si="371"/>
        <v>21.346223188653109</v>
      </c>
      <c r="F867" s="303"/>
      <c r="G867" s="302">
        <v>7.9759830975399799</v>
      </c>
      <c r="H867" s="302">
        <v>6.2899847312089934</v>
      </c>
      <c r="I867" s="302">
        <v>3.669815253975111</v>
      </c>
      <c r="J867" s="302">
        <f t="shared" si="374"/>
        <v>17.935783082724086</v>
      </c>
      <c r="K867" s="303"/>
      <c r="L867" s="302">
        <v>7.4707958933113341</v>
      </c>
      <c r="M867" s="302">
        <v>3.3976023680283705</v>
      </c>
      <c r="N867" s="302">
        <v>5.1957533607525637</v>
      </c>
      <c r="O867" s="302">
        <f t="shared" si="373"/>
        <v>16.064151622092268</v>
      </c>
    </row>
    <row r="868" spans="1:15" s="236" customFormat="1" x14ac:dyDescent="0.3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3">
      <c r="A869" s="244" t="s">
        <v>32</v>
      </c>
      <c r="B869" s="311">
        <f>SUM(B859:B867)</f>
        <v>313.89799999726057</v>
      </c>
      <c r="C869" s="311">
        <f t="shared" ref="C869:E869" si="375">SUM(C859:C867)</f>
        <v>114.01400000064066</v>
      </c>
      <c r="D869" s="311">
        <f t="shared" si="375"/>
        <v>71.797000000517158</v>
      </c>
      <c r="E869" s="311">
        <f t="shared" si="375"/>
        <v>499.70899999841839</v>
      </c>
      <c r="F869" s="311"/>
      <c r="G869" s="311">
        <f t="shared" ref="G869:J869" si="376">SUM(G859:G867)</f>
        <v>378.96599999829294</v>
      </c>
      <c r="H869" s="311">
        <f t="shared" si="376"/>
        <v>123.36300000044729</v>
      </c>
      <c r="I869" s="311">
        <f t="shared" si="376"/>
        <v>63.755999999499856</v>
      </c>
      <c r="J869" s="311">
        <f t="shared" si="376"/>
        <v>566.08499999824016</v>
      </c>
      <c r="K869" s="311"/>
      <c r="L869" s="311">
        <f t="shared" ref="L869:O869" si="377">SUM(L859:L867)</f>
        <v>408.70100000005834</v>
      </c>
      <c r="M869" s="311">
        <f t="shared" si="377"/>
        <v>118.14199999971522</v>
      </c>
      <c r="N869" s="311">
        <f t="shared" si="377"/>
        <v>71.021000000143871</v>
      </c>
      <c r="O869" s="311">
        <f t="shared" si="377"/>
        <v>597.8639999999175</v>
      </c>
    </row>
    <row r="870" spans="1:15" s="236" customFormat="1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3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3">
      <c r="A873" s="241" t="str">
        <f>name!A54</f>
        <v>Legal and accounting</v>
      </c>
      <c r="B873" s="375">
        <f>$B$6</f>
        <v>2015</v>
      </c>
      <c r="C873" s="375"/>
      <c r="D873" s="375"/>
      <c r="E873" s="375"/>
      <c r="F873" s="263"/>
      <c r="G873" s="375">
        <f>$G$6</f>
        <v>2020</v>
      </c>
      <c r="H873" s="375"/>
      <c r="I873" s="375"/>
      <c r="J873" s="375"/>
      <c r="K873" s="263"/>
      <c r="L873" s="375">
        <f>$L$6</f>
        <v>2035</v>
      </c>
      <c r="M873" s="375"/>
      <c r="N873" s="375"/>
      <c r="O873" s="375"/>
    </row>
    <row r="874" spans="1:15" s="236" customFormat="1" x14ac:dyDescent="0.3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3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3">
      <c r="A876" s="237" t="str">
        <f>name!E$4</f>
        <v>Managers, directors and senior officials</v>
      </c>
      <c r="B876" s="302">
        <v>59.229450243510833</v>
      </c>
      <c r="C876" s="302">
        <v>11.005119304600504</v>
      </c>
      <c r="D876" s="302">
        <v>14.869216530688908</v>
      </c>
      <c r="E876" s="302">
        <f>SUM(B876:D876)</f>
        <v>85.10378607880024</v>
      </c>
      <c r="F876" s="303"/>
      <c r="G876" s="302">
        <v>59.87306242615869</v>
      </c>
      <c r="H876" s="302">
        <v>19.100422879663991</v>
      </c>
      <c r="I876" s="302">
        <v>16.890038742603078</v>
      </c>
      <c r="J876" s="302">
        <f>SUM(G876:I876)</f>
        <v>95.863524048425759</v>
      </c>
      <c r="K876" s="303"/>
      <c r="L876" s="302">
        <v>66.819954733428105</v>
      </c>
      <c r="M876" s="302">
        <v>25.264496210501697</v>
      </c>
      <c r="N876" s="302">
        <v>19.830504020327293</v>
      </c>
      <c r="O876" s="302">
        <f>SUM(L876:N876)</f>
        <v>111.91495496425709</v>
      </c>
    </row>
    <row r="877" spans="1:15" s="236" customFormat="1" x14ac:dyDescent="0.3">
      <c r="A877" s="237" t="str">
        <f>name!E$5</f>
        <v>Professional occupations</v>
      </c>
      <c r="B877" s="302">
        <v>172.78358433879069</v>
      </c>
      <c r="C877" s="302">
        <v>21.564809624477981</v>
      </c>
      <c r="D877" s="302">
        <v>53.484220752569854</v>
      </c>
      <c r="E877" s="302">
        <f t="shared" ref="E877:E884" si="378">SUM(B877:D877)</f>
        <v>247.83261471583853</v>
      </c>
      <c r="F877" s="303"/>
      <c r="G877" s="302">
        <v>206.23654253689264</v>
      </c>
      <c r="H877" s="302">
        <v>36.272184326245188</v>
      </c>
      <c r="I877" s="302">
        <v>50.787859661288067</v>
      </c>
      <c r="J877" s="302">
        <f t="shared" ref="J877:J879" si="379">SUM(G877:I877)</f>
        <v>293.29658652442589</v>
      </c>
      <c r="K877" s="303"/>
      <c r="L877" s="302">
        <v>260.76277009030434</v>
      </c>
      <c r="M877" s="302">
        <v>48.044007544714923</v>
      </c>
      <c r="N877" s="302">
        <v>51.213170700793547</v>
      </c>
      <c r="O877" s="302">
        <f t="shared" ref="O877:O884" si="380">SUM(L877:N877)</f>
        <v>360.01994833581284</v>
      </c>
    </row>
    <row r="878" spans="1:15" s="236" customFormat="1" x14ac:dyDescent="0.3">
      <c r="A878" s="237" t="str">
        <f>name!E$6</f>
        <v>Associate professional occupations</v>
      </c>
      <c r="B878" s="302">
        <v>90.752037528275196</v>
      </c>
      <c r="C878" s="302">
        <v>16.888604320956301</v>
      </c>
      <c r="D878" s="302">
        <v>23.100001070803003</v>
      </c>
      <c r="E878" s="302">
        <f t="shared" si="378"/>
        <v>130.7406429200345</v>
      </c>
      <c r="F878" s="303"/>
      <c r="G878" s="302">
        <v>96.073330829425117</v>
      </c>
      <c r="H878" s="302">
        <v>23.848582518978933</v>
      </c>
      <c r="I878" s="302">
        <v>22.120558424873121</v>
      </c>
      <c r="J878" s="302">
        <f t="shared" si="379"/>
        <v>142.04247177327716</v>
      </c>
      <c r="K878" s="303"/>
      <c r="L878" s="302">
        <v>102.07705588764634</v>
      </c>
      <c r="M878" s="302">
        <v>27.845040759275037</v>
      </c>
      <c r="N878" s="302">
        <v>24.733447970388418</v>
      </c>
      <c r="O878" s="302">
        <f t="shared" si="380"/>
        <v>154.6555446173098</v>
      </c>
    </row>
    <row r="879" spans="1:15" s="236" customFormat="1" x14ac:dyDescent="0.3">
      <c r="A879" s="237" t="str">
        <f>name!E$7</f>
        <v>Administrative and secretarial occupations</v>
      </c>
      <c r="B879" s="302">
        <v>80.364259400237415</v>
      </c>
      <c r="C879" s="302">
        <v>47.913355706655075</v>
      </c>
      <c r="D879" s="302">
        <v>12.56533649733351</v>
      </c>
      <c r="E879" s="302">
        <f t="shared" si="378"/>
        <v>140.84295160422599</v>
      </c>
      <c r="F879" s="303"/>
      <c r="G879" s="302">
        <v>72.20921825221221</v>
      </c>
      <c r="H879" s="302">
        <v>58.518349231541258</v>
      </c>
      <c r="I879" s="302">
        <v>11.737736623714255</v>
      </c>
      <c r="J879" s="302">
        <f t="shared" si="379"/>
        <v>142.46530410746772</v>
      </c>
      <c r="K879" s="303"/>
      <c r="L879" s="302">
        <v>51.826110456915593</v>
      </c>
      <c r="M879" s="302">
        <v>55.260874183014778</v>
      </c>
      <c r="N879" s="302">
        <v>11.40893615939355</v>
      </c>
      <c r="O879" s="302">
        <f t="shared" si="380"/>
        <v>118.49592079932391</v>
      </c>
    </row>
    <row r="880" spans="1:15" s="236" customFormat="1" x14ac:dyDescent="0.3">
      <c r="A880" s="237" t="str">
        <f>name!E$8</f>
        <v>Skilled trades occupations</v>
      </c>
      <c r="B880" s="302">
        <v>10.953552692962234</v>
      </c>
      <c r="C880" s="302">
        <v>2.486826981018269</v>
      </c>
      <c r="D880" s="302">
        <v>3.0470210301390672</v>
      </c>
      <c r="E880" s="302">
        <f t="shared" si="378"/>
        <v>16.487400704119569</v>
      </c>
      <c r="F880" s="303"/>
      <c r="G880" s="302">
        <v>8.0178319041948445</v>
      </c>
      <c r="H880" s="302">
        <v>1.8138940740871572</v>
      </c>
      <c r="I880" s="302">
        <v>2.5284010168445286</v>
      </c>
      <c r="J880" s="302">
        <f>SUM(G880:I880)</f>
        <v>12.36012699512653</v>
      </c>
      <c r="K880" s="303"/>
      <c r="L880" s="302">
        <v>8.7089095503673093</v>
      </c>
      <c r="M880" s="302">
        <v>2.8278188623530576</v>
      </c>
      <c r="N880" s="302">
        <v>3.496190995450247</v>
      </c>
      <c r="O880" s="302">
        <f t="shared" si="380"/>
        <v>15.032919408170613</v>
      </c>
    </row>
    <row r="881" spans="1:15" s="236" customFormat="1" x14ac:dyDescent="0.3">
      <c r="A881" s="237" t="str">
        <f>name!E$9</f>
        <v>Caring, leisure and other service occupations</v>
      </c>
      <c r="B881" s="302">
        <v>1.4577884641976069</v>
      </c>
      <c r="C881" s="302">
        <v>0.49500374068027514</v>
      </c>
      <c r="D881" s="302">
        <v>1.219074502419194</v>
      </c>
      <c r="E881" s="302">
        <f t="shared" si="378"/>
        <v>3.1718667072970761</v>
      </c>
      <c r="F881" s="303"/>
      <c r="G881" s="302">
        <v>1.2377329772400549</v>
      </c>
      <c r="H881" s="302">
        <v>0.5443563258109877</v>
      </c>
      <c r="I881" s="302">
        <v>1.2559810962196563</v>
      </c>
      <c r="J881" s="302">
        <f t="shared" ref="J881:J884" si="381">SUM(G881:I881)</f>
        <v>3.0380703992706986</v>
      </c>
      <c r="K881" s="303"/>
      <c r="L881" s="302">
        <v>1.3890220842134418</v>
      </c>
      <c r="M881" s="302">
        <v>0.54883394209509695</v>
      </c>
      <c r="N881" s="302">
        <v>2.387363551582494</v>
      </c>
      <c r="O881" s="302">
        <f t="shared" si="380"/>
        <v>4.3252195778910325</v>
      </c>
    </row>
    <row r="882" spans="1:15" s="236" customFormat="1" x14ac:dyDescent="0.3">
      <c r="A882" s="237" t="str">
        <f>name!E$10</f>
        <v>Sales and customer service occupations</v>
      </c>
      <c r="B882" s="302">
        <v>16.285640773430384</v>
      </c>
      <c r="C882" s="302">
        <v>7.824544917686084</v>
      </c>
      <c r="D882" s="302">
        <v>3.598502170945443</v>
      </c>
      <c r="E882" s="302">
        <f t="shared" si="378"/>
        <v>27.708687862061911</v>
      </c>
      <c r="F882" s="303"/>
      <c r="G882" s="302">
        <v>13.999285791190506</v>
      </c>
      <c r="H882" s="302">
        <v>9.5675890011694751</v>
      </c>
      <c r="I882" s="302">
        <v>2.4574608947139933</v>
      </c>
      <c r="J882" s="302">
        <f t="shared" si="381"/>
        <v>26.024335687073975</v>
      </c>
      <c r="K882" s="303"/>
      <c r="L882" s="302">
        <v>14.799368993312331</v>
      </c>
      <c r="M882" s="302">
        <v>12.02346345904169</v>
      </c>
      <c r="N882" s="302">
        <v>2.261956964294098</v>
      </c>
      <c r="O882" s="302">
        <f t="shared" si="380"/>
        <v>29.084789416648118</v>
      </c>
    </row>
    <row r="883" spans="1:15" s="236" customFormat="1" x14ac:dyDescent="0.3">
      <c r="A883" s="237" t="str">
        <f>name!E$11</f>
        <v>Process, plant and machine operatives</v>
      </c>
      <c r="B883" s="302">
        <v>3.8300225105710468</v>
      </c>
      <c r="C883" s="302">
        <v>1.835935836577697</v>
      </c>
      <c r="D883" s="302">
        <v>0.9558718092091929</v>
      </c>
      <c r="E883" s="302">
        <f t="shared" si="378"/>
        <v>6.6218301563579365</v>
      </c>
      <c r="F883" s="303"/>
      <c r="G883" s="302">
        <v>2.5149794713011779</v>
      </c>
      <c r="H883" s="302">
        <v>1.9174737903552568</v>
      </c>
      <c r="I883" s="302">
        <v>0.99398192926024276</v>
      </c>
      <c r="J883" s="302">
        <f t="shared" si="381"/>
        <v>5.4264351909166777</v>
      </c>
      <c r="K883" s="303"/>
      <c r="L883" s="302">
        <v>2.6813107378408612</v>
      </c>
      <c r="M883" s="302">
        <v>2.946585175343067</v>
      </c>
      <c r="N883" s="302">
        <v>1.4658061827623523</v>
      </c>
      <c r="O883" s="302">
        <f t="shared" si="380"/>
        <v>7.0937020959462807</v>
      </c>
    </row>
    <row r="884" spans="1:15" s="236" customFormat="1" x14ac:dyDescent="0.3">
      <c r="A884" s="237" t="str">
        <f>name!E$12</f>
        <v>Elementary occupations</v>
      </c>
      <c r="B884" s="302">
        <v>6.3326640387484412</v>
      </c>
      <c r="C884" s="302">
        <v>3.9667995666719151</v>
      </c>
      <c r="D884" s="302">
        <v>1.4777556366961189</v>
      </c>
      <c r="E884" s="302">
        <f t="shared" si="378"/>
        <v>11.777219242116475</v>
      </c>
      <c r="F884" s="303"/>
      <c r="G884" s="302">
        <v>4.9680158071073572</v>
      </c>
      <c r="H884" s="302">
        <v>3.8711478520654308</v>
      </c>
      <c r="I884" s="302">
        <v>0.98298161121845307</v>
      </c>
      <c r="J884" s="302">
        <f t="shared" si="381"/>
        <v>9.8221452703912409</v>
      </c>
      <c r="K884" s="303"/>
      <c r="L884" s="302">
        <v>4.4444974673184268</v>
      </c>
      <c r="M884" s="302">
        <v>3.4608798645517198</v>
      </c>
      <c r="N884" s="302">
        <v>1.6966234586040532</v>
      </c>
      <c r="O884" s="302">
        <f t="shared" si="380"/>
        <v>9.6020007904742002</v>
      </c>
    </row>
    <row r="885" spans="1:15" s="236" customFormat="1" x14ac:dyDescent="0.3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3">
      <c r="A886" s="244" t="s">
        <v>32</v>
      </c>
      <c r="B886" s="311">
        <f>SUM(B876:B884)</f>
        <v>441.98899999072387</v>
      </c>
      <c r="C886" s="311">
        <f t="shared" ref="C886:E886" si="382">SUM(C876:C884)</f>
        <v>113.9809999993241</v>
      </c>
      <c r="D886" s="311">
        <f t="shared" si="382"/>
        <v>114.31700000080427</v>
      </c>
      <c r="E886" s="311">
        <f t="shared" si="382"/>
        <v>670.28699999085222</v>
      </c>
      <c r="F886" s="311"/>
      <c r="G886" s="311">
        <f t="shared" ref="G886:J886" si="383">SUM(G876:G884)</f>
        <v>465.12999999572259</v>
      </c>
      <c r="H886" s="311">
        <f t="shared" si="383"/>
        <v>155.45399999991764</v>
      </c>
      <c r="I886" s="311">
        <f t="shared" si="383"/>
        <v>109.75500000073539</v>
      </c>
      <c r="J886" s="311">
        <f t="shared" si="383"/>
        <v>730.33899999637572</v>
      </c>
      <c r="K886" s="311"/>
      <c r="L886" s="311">
        <f t="shared" ref="L886:O886" si="384">SUM(L876:L884)</f>
        <v>513.50900000134675</v>
      </c>
      <c r="M886" s="311">
        <f t="shared" si="384"/>
        <v>178.22200000089109</v>
      </c>
      <c r="N886" s="311">
        <f t="shared" si="384"/>
        <v>118.49400000359604</v>
      </c>
      <c r="O886" s="311">
        <f t="shared" si="384"/>
        <v>810.22500000583398</v>
      </c>
    </row>
    <row r="887" spans="1:15" s="236" customFormat="1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3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3">
      <c r="A890" s="241" t="str">
        <f>name!A55</f>
        <v>Head offices, etc</v>
      </c>
      <c r="B890" s="375">
        <f>$B$6</f>
        <v>2015</v>
      </c>
      <c r="C890" s="375"/>
      <c r="D890" s="375"/>
      <c r="E890" s="375"/>
      <c r="F890" s="263"/>
      <c r="G890" s="375">
        <f>$G$6</f>
        <v>2020</v>
      </c>
      <c r="H890" s="375"/>
      <c r="I890" s="375"/>
      <c r="J890" s="375"/>
      <c r="K890" s="263"/>
      <c r="L890" s="375">
        <f>$L$6</f>
        <v>2035</v>
      </c>
      <c r="M890" s="375"/>
      <c r="N890" s="375"/>
      <c r="O890" s="375"/>
    </row>
    <row r="891" spans="1:15" s="236" customFormat="1" x14ac:dyDescent="0.3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3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3">
      <c r="A893" s="237" t="str">
        <f>name!E$4</f>
        <v>Managers, directors and senior officials</v>
      </c>
      <c r="B893" s="302">
        <v>74.208978389256103</v>
      </c>
      <c r="C893" s="302">
        <v>17.674239460002557</v>
      </c>
      <c r="D893" s="302">
        <v>11.826774627494006</v>
      </c>
      <c r="E893" s="302">
        <f>SUM(B893:D893)</f>
        <v>103.70999247675266</v>
      </c>
      <c r="F893" s="303"/>
      <c r="G893" s="302">
        <v>74.392698246423066</v>
      </c>
      <c r="H893" s="302">
        <v>24.562521247820353</v>
      </c>
      <c r="I893" s="302">
        <v>12.410922567282512</v>
      </c>
      <c r="J893" s="302">
        <f>SUM(G893:I893)</f>
        <v>111.36614206152593</v>
      </c>
      <c r="K893" s="303"/>
      <c r="L893" s="302">
        <v>76.767401902700485</v>
      </c>
      <c r="M893" s="302">
        <v>31.891770860348203</v>
      </c>
      <c r="N893" s="302">
        <v>13.898910730365198</v>
      </c>
      <c r="O893" s="302">
        <f>SUM(L893:N893)</f>
        <v>122.55808349341389</v>
      </c>
    </row>
    <row r="894" spans="1:15" s="236" customFormat="1" x14ac:dyDescent="0.3">
      <c r="A894" s="237" t="str">
        <f>name!E$5</f>
        <v>Professional occupations</v>
      </c>
      <c r="B894" s="302">
        <v>211.45210053813975</v>
      </c>
      <c r="C894" s="302">
        <v>34.921297297085303</v>
      </c>
      <c r="D894" s="302">
        <v>40.753419240987739</v>
      </c>
      <c r="E894" s="302">
        <f t="shared" ref="E894:E901" si="385">SUM(B894:D894)</f>
        <v>287.12681707621277</v>
      </c>
      <c r="F894" s="303"/>
      <c r="G894" s="302">
        <v>246.1535941017855</v>
      </c>
      <c r="H894" s="302">
        <v>46.92930944396165</v>
      </c>
      <c r="I894" s="302">
        <v>35.942741983398506</v>
      </c>
      <c r="J894" s="302">
        <f t="shared" ref="J894:J896" si="386">SUM(G894:I894)</f>
        <v>329.02564552914566</v>
      </c>
      <c r="K894" s="303"/>
      <c r="L894" s="302">
        <v>291.88646661458273</v>
      </c>
      <c r="M894" s="302">
        <v>61.712564904317034</v>
      </c>
      <c r="N894" s="302">
        <v>35.347290692517021</v>
      </c>
      <c r="O894" s="302">
        <f t="shared" ref="O894:O901" si="387">SUM(L894:N894)</f>
        <v>388.94632221141683</v>
      </c>
    </row>
    <row r="895" spans="1:15" s="236" customFormat="1" x14ac:dyDescent="0.3">
      <c r="A895" s="237" t="str">
        <f>name!E$6</f>
        <v>Associate professional occupations</v>
      </c>
      <c r="B895" s="302">
        <v>105.90696269306</v>
      </c>
      <c r="C895" s="302">
        <v>26.747928354809652</v>
      </c>
      <c r="D895" s="302">
        <v>18.517386662833221</v>
      </c>
      <c r="E895" s="302">
        <f t="shared" si="385"/>
        <v>151.17227771070287</v>
      </c>
      <c r="F895" s="303"/>
      <c r="G895" s="302">
        <v>110.28156454057924</v>
      </c>
      <c r="H895" s="302">
        <v>30.821467157646872</v>
      </c>
      <c r="I895" s="302">
        <v>15.637052799199997</v>
      </c>
      <c r="J895" s="302">
        <f t="shared" si="386"/>
        <v>156.74008449742612</v>
      </c>
      <c r="K895" s="303"/>
      <c r="L895" s="302">
        <v>110.40312518676376</v>
      </c>
      <c r="M895" s="302">
        <v>34.489813759689717</v>
      </c>
      <c r="N895" s="302">
        <v>16.551751537119351</v>
      </c>
      <c r="O895" s="302">
        <f t="shared" si="387"/>
        <v>161.44469048357283</v>
      </c>
    </row>
    <row r="896" spans="1:15" s="236" customFormat="1" x14ac:dyDescent="0.3">
      <c r="A896" s="237" t="str">
        <f>name!E$7</f>
        <v>Administrative and secretarial occupations</v>
      </c>
      <c r="B896" s="302">
        <v>71.913362145470629</v>
      </c>
      <c r="C896" s="302">
        <v>69.582303381035359</v>
      </c>
      <c r="D896" s="302">
        <v>10.131154703026395</v>
      </c>
      <c r="E896" s="302">
        <f t="shared" si="385"/>
        <v>151.6268202295324</v>
      </c>
      <c r="F896" s="303"/>
      <c r="G896" s="302">
        <v>66.374304108704237</v>
      </c>
      <c r="H896" s="302">
        <v>70.516965018385179</v>
      </c>
      <c r="I896" s="302">
        <v>8.1760575261769972</v>
      </c>
      <c r="J896" s="302">
        <f t="shared" si="386"/>
        <v>145.06732665326641</v>
      </c>
      <c r="K896" s="303"/>
      <c r="L896" s="302">
        <v>49.677718528928807</v>
      </c>
      <c r="M896" s="302">
        <v>66.134799100413488</v>
      </c>
      <c r="N896" s="302">
        <v>7.1726248483409156</v>
      </c>
      <c r="O896" s="302">
        <f t="shared" si="387"/>
        <v>122.98514247768321</v>
      </c>
    </row>
    <row r="897" spans="1:15" s="236" customFormat="1" x14ac:dyDescent="0.3">
      <c r="A897" s="237" t="str">
        <f>name!E$8</f>
        <v>Skilled trades occupations</v>
      </c>
      <c r="B897" s="302">
        <v>14.98695366030551</v>
      </c>
      <c r="C897" s="302">
        <v>4.10608409780904</v>
      </c>
      <c r="D897" s="302">
        <v>2.1749815532578638</v>
      </c>
      <c r="E897" s="302">
        <f t="shared" si="385"/>
        <v>21.268019311372413</v>
      </c>
      <c r="F897" s="303"/>
      <c r="G897" s="302">
        <v>11.286489388873145</v>
      </c>
      <c r="H897" s="302">
        <v>2.5897006203606505</v>
      </c>
      <c r="I897" s="302">
        <v>1.770497281823517</v>
      </c>
      <c r="J897" s="302">
        <f>SUM(G897:I897)</f>
        <v>15.646687291057312</v>
      </c>
      <c r="K897" s="303"/>
      <c r="L897" s="302">
        <v>10.180492379413451</v>
      </c>
      <c r="M897" s="302">
        <v>3.7182267097913888</v>
      </c>
      <c r="N897" s="302">
        <v>2.3613586689972901</v>
      </c>
      <c r="O897" s="302">
        <f t="shared" si="387"/>
        <v>16.260077758202129</v>
      </c>
    </row>
    <row r="898" spans="1:15" s="236" customFormat="1" x14ac:dyDescent="0.3">
      <c r="A898" s="237" t="str">
        <f>name!E$9</f>
        <v>Caring, leisure and other service occupations</v>
      </c>
      <c r="B898" s="302">
        <v>1.5344872754762138</v>
      </c>
      <c r="C898" s="302">
        <v>0.76406610245731166</v>
      </c>
      <c r="D898" s="302">
        <v>0.9245916726640242</v>
      </c>
      <c r="E898" s="302">
        <f t="shared" si="385"/>
        <v>3.2231450505975499</v>
      </c>
      <c r="F898" s="303"/>
      <c r="G898" s="302">
        <v>1.3307395728312506</v>
      </c>
      <c r="H898" s="302">
        <v>0.70645860570608943</v>
      </c>
      <c r="I898" s="302">
        <v>0.88491838406912238</v>
      </c>
      <c r="J898" s="302">
        <f t="shared" ref="J898:J901" si="388">SUM(G898:I898)</f>
        <v>2.9221165626064627</v>
      </c>
      <c r="K898" s="303"/>
      <c r="L898" s="302">
        <v>1.4634526236036687</v>
      </c>
      <c r="M898" s="302">
        <v>0.7048776999425227</v>
      </c>
      <c r="N898" s="302">
        <v>1.5918662182702186</v>
      </c>
      <c r="O898" s="302">
        <f t="shared" si="387"/>
        <v>3.7601965418164101</v>
      </c>
    </row>
    <row r="899" spans="1:15" s="236" customFormat="1" x14ac:dyDescent="0.3">
      <c r="A899" s="237" t="str">
        <f>name!E$10</f>
        <v>Sales and customer service occupations</v>
      </c>
      <c r="B899" s="302">
        <v>15.398217471079093</v>
      </c>
      <c r="C899" s="302">
        <v>11.322801102854287</v>
      </c>
      <c r="D899" s="302">
        <v>2.8746028277293045</v>
      </c>
      <c r="E899" s="302">
        <f t="shared" si="385"/>
        <v>29.595621401662683</v>
      </c>
      <c r="F899" s="303"/>
      <c r="G899" s="302">
        <v>13.403843746544885</v>
      </c>
      <c r="H899" s="302">
        <v>11.451349260411948</v>
      </c>
      <c r="I899" s="302">
        <v>1.7345217663659482</v>
      </c>
      <c r="J899" s="302">
        <f t="shared" si="388"/>
        <v>26.589714773322779</v>
      </c>
      <c r="K899" s="303"/>
      <c r="L899" s="302">
        <v>14.302633548410448</v>
      </c>
      <c r="M899" s="302">
        <v>14.29871483731435</v>
      </c>
      <c r="N899" s="302">
        <v>1.4930058733677689</v>
      </c>
      <c r="O899" s="302">
        <f t="shared" si="387"/>
        <v>30.094354259092565</v>
      </c>
    </row>
    <row r="900" spans="1:15" s="236" customFormat="1" x14ac:dyDescent="0.3">
      <c r="A900" s="237" t="str">
        <f>name!E$11</f>
        <v>Process, plant and machine operatives</v>
      </c>
      <c r="B900" s="302">
        <v>5.0926591787692743</v>
      </c>
      <c r="C900" s="302">
        <v>2.8623651677789943</v>
      </c>
      <c r="D900" s="302">
        <v>0.71594676902809984</v>
      </c>
      <c r="E900" s="302">
        <f t="shared" si="385"/>
        <v>8.6709711155763696</v>
      </c>
      <c r="F900" s="303"/>
      <c r="G900" s="302">
        <v>3.6142446675807922</v>
      </c>
      <c r="H900" s="302">
        <v>2.7208129904484104</v>
      </c>
      <c r="I900" s="302">
        <v>0.67781529782170147</v>
      </c>
      <c r="J900" s="302">
        <f t="shared" si="388"/>
        <v>7.012872955850904</v>
      </c>
      <c r="K900" s="303"/>
      <c r="L900" s="302">
        <v>3.4370553329923386</v>
      </c>
      <c r="M900" s="302">
        <v>3.8329658748402826</v>
      </c>
      <c r="N900" s="302">
        <v>0.95689063218229853</v>
      </c>
      <c r="O900" s="302">
        <f t="shared" si="387"/>
        <v>8.2269118400149193</v>
      </c>
    </row>
    <row r="901" spans="1:15" s="236" customFormat="1" x14ac:dyDescent="0.3">
      <c r="A901" s="237" t="str">
        <f>name!E$12</f>
        <v>Elementary occupations</v>
      </c>
      <c r="B901" s="302">
        <v>6.4292786375700324</v>
      </c>
      <c r="C901" s="302">
        <v>5.9579150349395862</v>
      </c>
      <c r="D901" s="302">
        <v>1.2831419435376334</v>
      </c>
      <c r="E901" s="302">
        <f t="shared" si="385"/>
        <v>13.67033561604725</v>
      </c>
      <c r="F901" s="303"/>
      <c r="G901" s="302">
        <v>5.2385216219170525</v>
      </c>
      <c r="H901" s="302">
        <v>4.8064156550963162</v>
      </c>
      <c r="I901" s="302">
        <v>0.67747239429170458</v>
      </c>
      <c r="J901" s="302">
        <f t="shared" si="388"/>
        <v>10.722409671305073</v>
      </c>
      <c r="K901" s="303"/>
      <c r="L901" s="302">
        <v>4.5306538827845753</v>
      </c>
      <c r="M901" s="302">
        <v>4.2272662543147952</v>
      </c>
      <c r="N901" s="302">
        <v>1.0633008011820029</v>
      </c>
      <c r="O901" s="302">
        <f t="shared" si="387"/>
        <v>9.8212209382813729</v>
      </c>
    </row>
    <row r="902" spans="1:15" s="236" customFormat="1" x14ac:dyDescent="0.3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3">
      <c r="A903" s="244" t="s">
        <v>32</v>
      </c>
      <c r="B903" s="311">
        <f>SUM(B893:B901)</f>
        <v>506.92299998912659</v>
      </c>
      <c r="C903" s="311">
        <f t="shared" ref="C903:E903" si="389">SUM(C893:C901)</f>
        <v>173.93899999877209</v>
      </c>
      <c r="D903" s="311">
        <f t="shared" si="389"/>
        <v>89.202000000558272</v>
      </c>
      <c r="E903" s="311">
        <f t="shared" si="389"/>
        <v>770.063999988457</v>
      </c>
      <c r="F903" s="311"/>
      <c r="G903" s="311">
        <f t="shared" ref="G903:J903" si="390">SUM(G893:G901)</f>
        <v>532.07599999523904</v>
      </c>
      <c r="H903" s="311">
        <f t="shared" si="390"/>
        <v>195.10499999983747</v>
      </c>
      <c r="I903" s="311">
        <f t="shared" si="390"/>
        <v>77.912000000429998</v>
      </c>
      <c r="J903" s="311">
        <f t="shared" si="390"/>
        <v>805.09299999550649</v>
      </c>
      <c r="K903" s="311"/>
      <c r="L903" s="311">
        <f t="shared" ref="L903:O903" si="391">SUM(L893:L901)</f>
        <v>562.64900000018019</v>
      </c>
      <c r="M903" s="311">
        <f t="shared" si="391"/>
        <v>221.01100000097179</v>
      </c>
      <c r="N903" s="311">
        <f t="shared" si="391"/>
        <v>80.437000002342046</v>
      </c>
      <c r="O903" s="311">
        <f t="shared" si="391"/>
        <v>864.09700000349426</v>
      </c>
    </row>
    <row r="904" spans="1:15" s="236" customFormat="1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3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3">
      <c r="A907" s="241" t="str">
        <f>name!A56</f>
        <v>Architectural and related</v>
      </c>
      <c r="B907" s="375">
        <f>$B$6</f>
        <v>2015</v>
      </c>
      <c r="C907" s="375"/>
      <c r="D907" s="375"/>
      <c r="E907" s="375"/>
      <c r="F907" s="263"/>
      <c r="G907" s="375">
        <f>$G$6</f>
        <v>2020</v>
      </c>
      <c r="H907" s="375"/>
      <c r="I907" s="375"/>
      <c r="J907" s="375"/>
      <c r="K907" s="263"/>
      <c r="L907" s="375">
        <f>$L$6</f>
        <v>2035</v>
      </c>
      <c r="M907" s="375"/>
      <c r="N907" s="375"/>
      <c r="O907" s="375"/>
    </row>
    <row r="908" spans="1:15" s="236" customFormat="1" x14ac:dyDescent="0.3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3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3">
      <c r="A910" s="237" t="str">
        <f>name!E$4</f>
        <v>Managers, directors and senior officials</v>
      </c>
      <c r="B910" s="302">
        <v>55.152679901627401</v>
      </c>
      <c r="C910" s="302">
        <v>4.9640087940423552</v>
      </c>
      <c r="D910" s="302">
        <v>9.1940981399618327</v>
      </c>
      <c r="E910" s="302">
        <f>SUM(B910:D910)</f>
        <v>69.310786835631589</v>
      </c>
      <c r="F910" s="303"/>
      <c r="G910" s="302">
        <v>61.420223950349111</v>
      </c>
      <c r="H910" s="302">
        <v>8.548098278401099</v>
      </c>
      <c r="I910" s="302">
        <v>11.896672314316747</v>
      </c>
      <c r="J910" s="302">
        <f>SUM(G910:I910)</f>
        <v>81.864994543066956</v>
      </c>
      <c r="K910" s="303"/>
      <c r="L910" s="302">
        <v>59.757407299985495</v>
      </c>
      <c r="M910" s="302">
        <v>10.582370988435065</v>
      </c>
      <c r="N910" s="302">
        <v>13.789437112455168</v>
      </c>
      <c r="O910" s="302">
        <f>SUM(L910:N910)</f>
        <v>84.129215400875722</v>
      </c>
    </row>
    <row r="911" spans="1:15" s="236" customFormat="1" x14ac:dyDescent="0.3">
      <c r="A911" s="237" t="str">
        <f>name!E$5</f>
        <v>Professional occupations</v>
      </c>
      <c r="B911" s="302">
        <v>154.79862830645627</v>
      </c>
      <c r="C911" s="302">
        <v>9.3237737733110997</v>
      </c>
      <c r="D911" s="302">
        <v>33.901812682694818</v>
      </c>
      <c r="E911" s="302">
        <f t="shared" ref="E911:E918" si="392">SUM(B911:D911)</f>
        <v>198.02421476246218</v>
      </c>
      <c r="F911" s="303"/>
      <c r="G911" s="302">
        <v>198.97258785109088</v>
      </c>
      <c r="H911" s="302">
        <v>15.777505943091192</v>
      </c>
      <c r="I911" s="302">
        <v>38.39958273608211</v>
      </c>
      <c r="J911" s="302">
        <f t="shared" ref="J911:J913" si="393">SUM(G911:I911)</f>
        <v>253.14967653026417</v>
      </c>
      <c r="K911" s="303"/>
      <c r="L911" s="302">
        <v>224.14854454062279</v>
      </c>
      <c r="M911" s="302">
        <v>20.023595150733794</v>
      </c>
      <c r="N911" s="302">
        <v>34.264048532835311</v>
      </c>
      <c r="O911" s="302">
        <f t="shared" ref="O911:O918" si="394">SUM(L911:N911)</f>
        <v>278.43618822419188</v>
      </c>
    </row>
    <row r="912" spans="1:15" s="236" customFormat="1" x14ac:dyDescent="0.3">
      <c r="A912" s="237" t="str">
        <f>name!E$6</f>
        <v>Associate professional occupations</v>
      </c>
      <c r="B912" s="302">
        <v>74.837414101040721</v>
      </c>
      <c r="C912" s="302">
        <v>7.5667501378766442</v>
      </c>
      <c r="D912" s="302">
        <v>12.595262040831978</v>
      </c>
      <c r="E912" s="302">
        <f t="shared" si="392"/>
        <v>94.999426279749343</v>
      </c>
      <c r="F912" s="303"/>
      <c r="G912" s="302">
        <v>86.800307922524283</v>
      </c>
      <c r="H912" s="302">
        <v>10.889864938562052</v>
      </c>
      <c r="I912" s="302">
        <v>14.007541002164977</v>
      </c>
      <c r="J912" s="302">
        <f t="shared" si="393"/>
        <v>111.69771386325132</v>
      </c>
      <c r="K912" s="303"/>
      <c r="L912" s="302">
        <v>81.877971980055875</v>
      </c>
      <c r="M912" s="302">
        <v>11.090852785176894</v>
      </c>
      <c r="N912" s="302">
        <v>13.702950987963924</v>
      </c>
      <c r="O912" s="302">
        <f t="shared" si="394"/>
        <v>106.6717757531967</v>
      </c>
    </row>
    <row r="913" spans="1:15" s="236" customFormat="1" x14ac:dyDescent="0.3">
      <c r="A913" s="237" t="str">
        <f>name!E$7</f>
        <v>Administrative and secretarial occupations</v>
      </c>
      <c r="B913" s="302">
        <v>49.403010743527162</v>
      </c>
      <c r="C913" s="302">
        <v>22.055426410525456</v>
      </c>
      <c r="D913" s="302">
        <v>5.4562642456373522</v>
      </c>
      <c r="E913" s="302">
        <f t="shared" si="392"/>
        <v>76.914701399689974</v>
      </c>
      <c r="F913" s="303"/>
      <c r="G913" s="302">
        <v>48.162086989790289</v>
      </c>
      <c r="H913" s="302">
        <v>23.417430114117369</v>
      </c>
      <c r="I913" s="302">
        <v>5.1199522081098046</v>
      </c>
      <c r="J913" s="302">
        <f t="shared" si="393"/>
        <v>76.69946931201747</v>
      </c>
      <c r="K913" s="303"/>
      <c r="L913" s="302">
        <v>39.991594715364798</v>
      </c>
      <c r="M913" s="302">
        <v>20.826850422318259</v>
      </c>
      <c r="N913" s="302">
        <v>5.3290510847742993</v>
      </c>
      <c r="O913" s="302">
        <f t="shared" si="394"/>
        <v>66.147496222457363</v>
      </c>
    </row>
    <row r="914" spans="1:15" s="236" customFormat="1" x14ac:dyDescent="0.3">
      <c r="A914" s="237" t="str">
        <f>name!E$8</f>
        <v>Skilled trades occupations</v>
      </c>
      <c r="B914" s="302">
        <v>14.007293123834939</v>
      </c>
      <c r="C914" s="302">
        <v>1.4445359982456378</v>
      </c>
      <c r="D914" s="302">
        <v>2.2948115770563091</v>
      </c>
      <c r="E914" s="302">
        <f t="shared" si="392"/>
        <v>17.746640699136886</v>
      </c>
      <c r="F914" s="303"/>
      <c r="G914" s="302">
        <v>11.145863032761278</v>
      </c>
      <c r="H914" s="302">
        <v>1.14642730550504</v>
      </c>
      <c r="I914" s="302">
        <v>2.0508160660508299</v>
      </c>
      <c r="J914" s="302">
        <f>SUM(G914:I914)</f>
        <v>14.343106404317149</v>
      </c>
      <c r="K914" s="303"/>
      <c r="L914" s="302">
        <v>8.6756317998701551</v>
      </c>
      <c r="M914" s="302">
        <v>1.5129457811017133</v>
      </c>
      <c r="N914" s="302">
        <v>2.5175127962587949</v>
      </c>
      <c r="O914" s="302">
        <f t="shared" si="394"/>
        <v>12.706090377230662</v>
      </c>
    </row>
    <row r="915" spans="1:15" s="236" customFormat="1" x14ac:dyDescent="0.3">
      <c r="A915" s="237" t="str">
        <f>name!E$9</f>
        <v>Caring, leisure and other service occupations</v>
      </c>
      <c r="B915" s="302">
        <v>1.0912706663797158</v>
      </c>
      <c r="C915" s="302">
        <v>0.23737389238705212</v>
      </c>
      <c r="D915" s="302">
        <v>0.7803005292681473</v>
      </c>
      <c r="E915" s="302">
        <f t="shared" si="392"/>
        <v>2.1089450880349152</v>
      </c>
      <c r="F915" s="303"/>
      <c r="G915" s="302">
        <v>1.0372732953043573</v>
      </c>
      <c r="H915" s="302">
        <v>0.26514121588602546</v>
      </c>
      <c r="I915" s="302">
        <v>0.89602082185183662</v>
      </c>
      <c r="J915" s="302">
        <f t="shared" ref="J915:J918" si="395">SUM(G915:I915)</f>
        <v>2.1984353330422195</v>
      </c>
      <c r="K915" s="303"/>
      <c r="L915" s="302">
        <v>1.1141757018021612</v>
      </c>
      <c r="M915" s="302">
        <v>0.26484133000504451</v>
      </c>
      <c r="N915" s="302">
        <v>1.6724648732941814</v>
      </c>
      <c r="O915" s="302">
        <f t="shared" si="394"/>
        <v>3.0514819051013871</v>
      </c>
    </row>
    <row r="916" spans="1:15" s="236" customFormat="1" x14ac:dyDescent="0.3">
      <c r="A916" s="237" t="str">
        <f>name!E$10</f>
        <v>Sales and customer service occupations</v>
      </c>
      <c r="B916" s="302">
        <v>10.670652985893604</v>
      </c>
      <c r="C916" s="302">
        <v>3.9960787341737434</v>
      </c>
      <c r="D916" s="302">
        <v>1.8161296810883756</v>
      </c>
      <c r="E916" s="302">
        <f t="shared" si="392"/>
        <v>16.482861401155724</v>
      </c>
      <c r="F916" s="303"/>
      <c r="G916" s="302">
        <v>9.8083695792725738</v>
      </c>
      <c r="H916" s="302">
        <v>4.2286074590434524</v>
      </c>
      <c r="I916" s="302">
        <v>1.4392534253922169</v>
      </c>
      <c r="J916" s="302">
        <f t="shared" si="395"/>
        <v>15.476230463708243</v>
      </c>
      <c r="K916" s="303"/>
      <c r="L916" s="302">
        <v>10.720781920543068</v>
      </c>
      <c r="M916" s="302">
        <v>5.2254043753636816</v>
      </c>
      <c r="N916" s="302">
        <v>1.3216500759253511</v>
      </c>
      <c r="O916" s="302">
        <f t="shared" si="394"/>
        <v>17.2678363718321</v>
      </c>
    </row>
    <row r="917" spans="1:15" s="236" customFormat="1" x14ac:dyDescent="0.3">
      <c r="A917" s="237" t="str">
        <f>name!E$11</f>
        <v>Process, plant and machine operatives</v>
      </c>
      <c r="B917" s="302">
        <v>5.5543611590937951</v>
      </c>
      <c r="C917" s="302">
        <v>0.99515357370174229</v>
      </c>
      <c r="D917" s="302">
        <v>0.61569252719648471</v>
      </c>
      <c r="E917" s="302">
        <f t="shared" si="392"/>
        <v>7.1652072599920222</v>
      </c>
      <c r="F917" s="303"/>
      <c r="G917" s="302">
        <v>4.0399856866253483</v>
      </c>
      <c r="H917" s="302">
        <v>1.2308666542496303</v>
      </c>
      <c r="I917" s="302">
        <v>0.70531854696294771</v>
      </c>
      <c r="J917" s="302">
        <f t="shared" si="395"/>
        <v>5.9761708878379265</v>
      </c>
      <c r="K917" s="303"/>
      <c r="L917" s="302">
        <v>3.6754737452592585</v>
      </c>
      <c r="M917" s="302">
        <v>1.646390954531586</v>
      </c>
      <c r="N917" s="302">
        <v>0.90351296964559713</v>
      </c>
      <c r="O917" s="302">
        <f t="shared" si="394"/>
        <v>6.2253776694364413</v>
      </c>
    </row>
    <row r="918" spans="1:15" s="236" customFormat="1" x14ac:dyDescent="0.3">
      <c r="A918" s="237" t="str">
        <f>name!E$12</f>
        <v>Elementary occupations</v>
      </c>
      <c r="B918" s="302">
        <v>5.4456890049405056</v>
      </c>
      <c r="C918" s="302">
        <v>1.8898986854478999</v>
      </c>
      <c r="D918" s="302">
        <v>0.58762857700493465</v>
      </c>
      <c r="E918" s="302">
        <f t="shared" si="392"/>
        <v>7.9232162673933404</v>
      </c>
      <c r="F918" s="303"/>
      <c r="G918" s="302">
        <v>4.4423016874025318</v>
      </c>
      <c r="H918" s="302">
        <v>1.7950580910697367</v>
      </c>
      <c r="I918" s="302">
        <v>0.4368428800944365</v>
      </c>
      <c r="J918" s="302">
        <f t="shared" si="395"/>
        <v>6.6742026585667054</v>
      </c>
      <c r="K918" s="303"/>
      <c r="L918" s="302">
        <v>3.7214182951749808</v>
      </c>
      <c r="M918" s="302">
        <v>1.5957482125513556</v>
      </c>
      <c r="N918" s="302">
        <v>0.60237156947750559</v>
      </c>
      <c r="O918" s="302">
        <f t="shared" si="394"/>
        <v>5.9195380772038417</v>
      </c>
    </row>
    <row r="919" spans="1:15" s="236" customFormat="1" x14ac:dyDescent="0.3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3">
      <c r="A920" s="244" t="s">
        <v>32</v>
      </c>
      <c r="B920" s="311">
        <f>SUM(B910:B918)</f>
        <v>370.96099999279409</v>
      </c>
      <c r="C920" s="311">
        <f t="shared" ref="C920:E920" si="396">SUM(C910:C918)</f>
        <v>52.472999999711632</v>
      </c>
      <c r="D920" s="311">
        <f t="shared" si="396"/>
        <v>67.242000000740219</v>
      </c>
      <c r="E920" s="311">
        <f t="shared" si="396"/>
        <v>490.67599999324602</v>
      </c>
      <c r="F920" s="311"/>
      <c r="G920" s="311">
        <f t="shared" ref="G920:J920" si="397">SUM(G910:G918)</f>
        <v>425.82899999512057</v>
      </c>
      <c r="H920" s="311">
        <f t="shared" si="397"/>
        <v>67.298999999925584</v>
      </c>
      <c r="I920" s="311">
        <f t="shared" si="397"/>
        <v>74.952000001025894</v>
      </c>
      <c r="J920" s="311">
        <f t="shared" si="397"/>
        <v>568.07999999607216</v>
      </c>
      <c r="K920" s="311"/>
      <c r="L920" s="311">
        <f t="shared" ref="L920:O920" si="398">SUM(L910:L918)</f>
        <v>433.6829999986785</v>
      </c>
      <c r="M920" s="311">
        <f t="shared" si="398"/>
        <v>72.769000000217375</v>
      </c>
      <c r="N920" s="311">
        <f t="shared" si="398"/>
        <v>74.103000002630139</v>
      </c>
      <c r="O920" s="311">
        <f t="shared" si="398"/>
        <v>580.55500000152597</v>
      </c>
    </row>
    <row r="921" spans="1:15" s="236" customFormat="1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3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3">
      <c r="A924" s="241" t="str">
        <f>name!A57</f>
        <v>Scientific research and development</v>
      </c>
      <c r="B924" s="375">
        <f>$B$6</f>
        <v>2015</v>
      </c>
      <c r="C924" s="375"/>
      <c r="D924" s="375"/>
      <c r="E924" s="375"/>
      <c r="F924" s="263"/>
      <c r="G924" s="375">
        <f>$G$6</f>
        <v>2020</v>
      </c>
      <c r="H924" s="375"/>
      <c r="I924" s="375"/>
      <c r="J924" s="375"/>
      <c r="K924" s="263"/>
      <c r="L924" s="375">
        <f>$L$6</f>
        <v>2035</v>
      </c>
      <c r="M924" s="375"/>
      <c r="N924" s="375"/>
      <c r="O924" s="375"/>
    </row>
    <row r="925" spans="1:15" s="236" customFormat="1" x14ac:dyDescent="0.3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3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3">
      <c r="A927" s="237" t="str">
        <f>name!E$4</f>
        <v>Managers, directors and senior officials</v>
      </c>
      <c r="B927" s="302">
        <v>9.7837690326742059</v>
      </c>
      <c r="C927" s="302">
        <v>0.70371129414433309</v>
      </c>
      <c r="D927" s="302">
        <v>6.0321220627989911</v>
      </c>
      <c r="E927" s="302">
        <f>SUM(B927:D927)</f>
        <v>16.519602389617528</v>
      </c>
      <c r="F927" s="303"/>
      <c r="G927" s="302">
        <v>10.844997391315495</v>
      </c>
      <c r="H927" s="302">
        <v>0.85356340722487867</v>
      </c>
      <c r="I927" s="302">
        <v>6.0212477534418829</v>
      </c>
      <c r="J927" s="302">
        <f>SUM(G927:I927)</f>
        <v>17.719808551982258</v>
      </c>
      <c r="K927" s="303"/>
      <c r="L927" s="302">
        <v>11.973600058399258</v>
      </c>
      <c r="M927" s="302">
        <v>1.2175769213150118</v>
      </c>
      <c r="N927" s="302">
        <v>9.0443984782460287</v>
      </c>
      <c r="O927" s="302">
        <f>SUM(L927:N927)</f>
        <v>22.235575457960298</v>
      </c>
    </row>
    <row r="928" spans="1:15" s="236" customFormat="1" x14ac:dyDescent="0.3">
      <c r="A928" s="237" t="str">
        <f>name!E$5</f>
        <v>Professional occupations</v>
      </c>
      <c r="B928" s="302">
        <v>47.786665032818618</v>
      </c>
      <c r="C928" s="302">
        <v>3.8036067071156467</v>
      </c>
      <c r="D928" s="302">
        <v>24.88272600354388</v>
      </c>
      <c r="E928" s="302">
        <f t="shared" ref="E928:E935" si="399">SUM(B928:D928)</f>
        <v>76.472997743478146</v>
      </c>
      <c r="F928" s="303"/>
      <c r="G928" s="302">
        <v>57.754628987932541</v>
      </c>
      <c r="H928" s="302">
        <v>4.2172341594198848</v>
      </c>
      <c r="I928" s="302">
        <v>22.526605451449083</v>
      </c>
      <c r="J928" s="302">
        <f t="shared" ref="J928:J930" si="400">SUM(G928:I928)</f>
        <v>84.498468598801509</v>
      </c>
      <c r="K928" s="303"/>
      <c r="L928" s="302">
        <v>76.034208070000645</v>
      </c>
      <c r="M928" s="302">
        <v>6.4150070320423165</v>
      </c>
      <c r="N928" s="302">
        <v>26.919949093602487</v>
      </c>
      <c r="O928" s="302">
        <f t="shared" ref="O928:O935" si="401">SUM(L928:N928)</f>
        <v>109.36916419564544</v>
      </c>
    </row>
    <row r="929" spans="1:15" s="236" customFormat="1" x14ac:dyDescent="0.3">
      <c r="A929" s="237" t="str">
        <f>name!E$6</f>
        <v>Associate professional occupations</v>
      </c>
      <c r="B929" s="302">
        <v>13.208888352821148</v>
      </c>
      <c r="C929" s="302">
        <v>1.7167523719151945</v>
      </c>
      <c r="D929" s="302">
        <v>5.053072520800904</v>
      </c>
      <c r="E929" s="302">
        <f t="shared" si="399"/>
        <v>19.978713245537246</v>
      </c>
      <c r="F929" s="303"/>
      <c r="G929" s="302">
        <v>15.478924150639504</v>
      </c>
      <c r="H929" s="302">
        <v>1.8117802567890309</v>
      </c>
      <c r="I929" s="302">
        <v>4.3727892894357359</v>
      </c>
      <c r="J929" s="302">
        <f t="shared" si="400"/>
        <v>21.663493696864272</v>
      </c>
      <c r="K929" s="303"/>
      <c r="L929" s="302">
        <v>16.838286645530168</v>
      </c>
      <c r="M929" s="302">
        <v>2.0170260032720124</v>
      </c>
      <c r="N929" s="302">
        <v>5.9112801637271994</v>
      </c>
      <c r="O929" s="302">
        <f t="shared" si="401"/>
        <v>24.766592812529378</v>
      </c>
    </row>
    <row r="930" spans="1:15" s="236" customFormat="1" x14ac:dyDescent="0.3">
      <c r="A930" s="237" t="str">
        <f>name!E$7</f>
        <v>Administrative and secretarial occupations</v>
      </c>
      <c r="B930" s="302">
        <v>5.1454911387983628</v>
      </c>
      <c r="C930" s="302">
        <v>2.2205496687323927</v>
      </c>
      <c r="D930" s="302">
        <v>3.4206656380849223</v>
      </c>
      <c r="E930" s="302">
        <f t="shared" si="399"/>
        <v>10.786706445615678</v>
      </c>
      <c r="F930" s="303"/>
      <c r="G930" s="302">
        <v>4.746581232641276</v>
      </c>
      <c r="H930" s="302">
        <v>2.132609802121753</v>
      </c>
      <c r="I930" s="302">
        <v>2.7934474026590541</v>
      </c>
      <c r="J930" s="302">
        <f t="shared" si="400"/>
        <v>9.6726384374220835</v>
      </c>
      <c r="K930" s="303"/>
      <c r="L930" s="302">
        <v>4.0956446307394287</v>
      </c>
      <c r="M930" s="302">
        <v>1.9411425174461354</v>
      </c>
      <c r="N930" s="302">
        <v>3.3168784315087478</v>
      </c>
      <c r="O930" s="302">
        <f t="shared" si="401"/>
        <v>9.3536655796943116</v>
      </c>
    </row>
    <row r="931" spans="1:15" s="236" customFormat="1" x14ac:dyDescent="0.3">
      <c r="A931" s="237" t="str">
        <f>name!E$8</f>
        <v>Skilled trades occupations</v>
      </c>
      <c r="B931" s="302">
        <v>3.1886838777492423</v>
      </c>
      <c r="C931" s="302">
        <v>0.57790724570827545</v>
      </c>
      <c r="D931" s="302">
        <v>2.2374938841395071</v>
      </c>
      <c r="E931" s="302">
        <f t="shared" si="399"/>
        <v>6.0040850075970251</v>
      </c>
      <c r="F931" s="303"/>
      <c r="G931" s="302">
        <v>2.3523061461903469</v>
      </c>
      <c r="H931" s="302">
        <v>0.28707515293730079</v>
      </c>
      <c r="I931" s="302">
        <v>1.663384012892728</v>
      </c>
      <c r="J931" s="302">
        <f>SUM(G931:I931)</f>
        <v>4.3027653120203757</v>
      </c>
      <c r="K931" s="303"/>
      <c r="L931" s="302">
        <v>2.0109085633003105</v>
      </c>
      <c r="M931" s="302">
        <v>0.3915066379115682</v>
      </c>
      <c r="N931" s="302">
        <v>2.7753707562843131</v>
      </c>
      <c r="O931" s="302">
        <f t="shared" si="401"/>
        <v>5.1777859574961917</v>
      </c>
    </row>
    <row r="932" spans="1:15" s="236" customFormat="1" x14ac:dyDescent="0.3">
      <c r="A932" s="237" t="str">
        <f>name!E$9</f>
        <v>Caring, leisure and other service occupations</v>
      </c>
      <c r="B932" s="302">
        <v>1.9380817425656507</v>
      </c>
      <c r="C932" s="302">
        <v>0.35665268725699117</v>
      </c>
      <c r="D932" s="302">
        <v>1.7830675316803468</v>
      </c>
      <c r="E932" s="302">
        <f t="shared" si="399"/>
        <v>4.0778019615029883</v>
      </c>
      <c r="F932" s="303"/>
      <c r="G932" s="302">
        <v>1.8694214723221327</v>
      </c>
      <c r="H932" s="302">
        <v>0.29470603548849944</v>
      </c>
      <c r="I932" s="302">
        <v>1.6376515000687424</v>
      </c>
      <c r="J932" s="302">
        <f t="shared" ref="J932:J935" si="402">SUM(G932:I932)</f>
        <v>3.8017790078793747</v>
      </c>
      <c r="K932" s="303"/>
      <c r="L932" s="302">
        <v>2.2423879805295108</v>
      </c>
      <c r="M932" s="302">
        <v>0.37855973510378582</v>
      </c>
      <c r="N932" s="302">
        <v>3.3586745924763126</v>
      </c>
      <c r="O932" s="302">
        <f t="shared" si="401"/>
        <v>5.9796223081096098</v>
      </c>
    </row>
    <row r="933" spans="1:15" s="236" customFormat="1" x14ac:dyDescent="0.3">
      <c r="A933" s="237" t="str">
        <f>name!E$10</f>
        <v>Sales and customer service occupations</v>
      </c>
      <c r="B933" s="302">
        <v>1.2203924807598148</v>
      </c>
      <c r="C933" s="302">
        <v>1.0481731343054377</v>
      </c>
      <c r="D933" s="302">
        <v>1.7575445093383428</v>
      </c>
      <c r="E933" s="302">
        <f t="shared" si="399"/>
        <v>4.0261101244035959</v>
      </c>
      <c r="F933" s="303"/>
      <c r="G933" s="302">
        <v>1.1274329305996968</v>
      </c>
      <c r="H933" s="302">
        <v>0.88982195448860468</v>
      </c>
      <c r="I933" s="302">
        <v>1.2059194511399014</v>
      </c>
      <c r="J933" s="302">
        <f t="shared" si="402"/>
        <v>3.2231743362282028</v>
      </c>
      <c r="K933" s="303"/>
      <c r="L933" s="302">
        <v>1.6523639597730264</v>
      </c>
      <c r="M933" s="302">
        <v>1.1484971793710403</v>
      </c>
      <c r="N933" s="302">
        <v>1.7259611814923002</v>
      </c>
      <c r="O933" s="302">
        <f t="shared" si="401"/>
        <v>4.5268223206363665</v>
      </c>
    </row>
    <row r="934" spans="1:15" s="236" customFormat="1" x14ac:dyDescent="0.3">
      <c r="A934" s="237" t="str">
        <f>name!E$11</f>
        <v>Process, plant and machine operatives</v>
      </c>
      <c r="B934" s="302">
        <v>1.1278328807473206</v>
      </c>
      <c r="C934" s="302">
        <v>0.6587865997856257</v>
      </c>
      <c r="D934" s="302">
        <v>1.0027180731769392</v>
      </c>
      <c r="E934" s="302">
        <f t="shared" si="399"/>
        <v>2.7893375537098857</v>
      </c>
      <c r="F934" s="303"/>
      <c r="G934" s="302">
        <v>0.77900659019888763</v>
      </c>
      <c r="H934" s="302">
        <v>0.51311957622574589</v>
      </c>
      <c r="I934" s="302">
        <v>0.87594839916970002</v>
      </c>
      <c r="J934" s="302">
        <f t="shared" si="402"/>
        <v>2.1680745655943334</v>
      </c>
      <c r="K934" s="303"/>
      <c r="L934" s="302">
        <v>0.79273220951819967</v>
      </c>
      <c r="M934" s="302">
        <v>0.7193484170282175</v>
      </c>
      <c r="N934" s="302">
        <v>1.4306549425382007</v>
      </c>
      <c r="O934" s="302">
        <f t="shared" si="401"/>
        <v>2.9427355690846175</v>
      </c>
    </row>
    <row r="935" spans="1:15" s="236" customFormat="1" x14ac:dyDescent="0.3">
      <c r="A935" s="237" t="str">
        <f>name!E$12</f>
        <v>Elementary occupations</v>
      </c>
      <c r="B935" s="302">
        <v>0.88719546029320462</v>
      </c>
      <c r="C935" s="302">
        <v>0.26986029081641039</v>
      </c>
      <c r="D935" s="302">
        <v>2.8435897765959979</v>
      </c>
      <c r="E935" s="302">
        <f t="shared" si="399"/>
        <v>4.000645527705613</v>
      </c>
      <c r="F935" s="303"/>
      <c r="G935" s="302">
        <v>0.65070109821668931</v>
      </c>
      <c r="H935" s="302">
        <v>0.16708965528462055</v>
      </c>
      <c r="I935" s="302">
        <v>2.0770067398856518</v>
      </c>
      <c r="J935" s="302">
        <f t="shared" si="402"/>
        <v>2.8947974933869616</v>
      </c>
      <c r="K935" s="303"/>
      <c r="L935" s="302">
        <v>0.55486788161649192</v>
      </c>
      <c r="M935" s="302">
        <v>0.14933555652407868</v>
      </c>
      <c r="N935" s="302">
        <v>3.487832361218711</v>
      </c>
      <c r="O935" s="302">
        <f t="shared" si="401"/>
        <v>4.1920357993592816</v>
      </c>
    </row>
    <row r="936" spans="1:15" s="236" customFormat="1" x14ac:dyDescent="0.3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3">
      <c r="A937" s="244" t="s">
        <v>32</v>
      </c>
      <c r="B937" s="311">
        <f>SUM(B927:B935)</f>
        <v>84.286999999227561</v>
      </c>
      <c r="C937" s="311">
        <f t="shared" ref="C937:E937" si="403">SUM(C927:C935)</f>
        <v>11.355999999780309</v>
      </c>
      <c r="D937" s="311">
        <f t="shared" si="403"/>
        <v>49.013000000159828</v>
      </c>
      <c r="E937" s="311">
        <f t="shared" si="403"/>
        <v>144.6559999991677</v>
      </c>
      <c r="F937" s="311"/>
      <c r="G937" s="311">
        <f t="shared" ref="G937:J937" si="404">SUM(G927:G935)</f>
        <v>95.604000000056558</v>
      </c>
      <c r="H937" s="311">
        <f t="shared" si="404"/>
        <v>11.16699999998032</v>
      </c>
      <c r="I937" s="311">
        <f t="shared" si="404"/>
        <v>43.174000000142478</v>
      </c>
      <c r="J937" s="311">
        <f t="shared" si="404"/>
        <v>149.94500000017933</v>
      </c>
      <c r="K937" s="311"/>
      <c r="L937" s="311">
        <f t="shared" ref="L937:O937" si="405">SUM(L927:L935)</f>
        <v>116.19499999940705</v>
      </c>
      <c r="M937" s="311">
        <f t="shared" si="405"/>
        <v>14.378000000014167</v>
      </c>
      <c r="N937" s="311">
        <f t="shared" si="405"/>
        <v>57.971000001094296</v>
      </c>
      <c r="O937" s="311">
        <f t="shared" si="405"/>
        <v>188.5440000005155</v>
      </c>
    </row>
    <row r="938" spans="1:15" s="236" customFormat="1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3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3">
      <c r="A941" s="241" t="str">
        <f>name!A58</f>
        <v>Advertising, etc</v>
      </c>
      <c r="B941" s="375">
        <f>$B$6</f>
        <v>2015</v>
      </c>
      <c r="C941" s="375"/>
      <c r="D941" s="375"/>
      <c r="E941" s="375"/>
      <c r="F941" s="263"/>
      <c r="G941" s="375">
        <f>$G$6</f>
        <v>2020</v>
      </c>
      <c r="H941" s="375"/>
      <c r="I941" s="375"/>
      <c r="J941" s="375"/>
      <c r="K941" s="263"/>
      <c r="L941" s="375">
        <f>$L$6</f>
        <v>2035</v>
      </c>
      <c r="M941" s="375"/>
      <c r="N941" s="375"/>
      <c r="O941" s="375"/>
    </row>
    <row r="942" spans="1:15" s="236" customFormat="1" x14ac:dyDescent="0.3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3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3">
      <c r="A944" s="237" t="str">
        <f>name!E$4</f>
        <v>Managers, directors and senior officials</v>
      </c>
      <c r="B944" s="302">
        <v>20.302570889117256</v>
      </c>
      <c r="C944" s="302">
        <v>4.4367950302135402</v>
      </c>
      <c r="D944" s="302">
        <v>7.9531275105242401</v>
      </c>
      <c r="E944" s="302">
        <f>SUM(B944:D944)</f>
        <v>32.692493429855034</v>
      </c>
      <c r="F944" s="303"/>
      <c r="G944" s="302">
        <v>18.319872111558045</v>
      </c>
      <c r="H944" s="302">
        <v>4.4712052305870778</v>
      </c>
      <c r="I944" s="302">
        <v>7.1472633790480398</v>
      </c>
      <c r="J944" s="302">
        <f>SUM(G944:I944)</f>
        <v>29.938340721193164</v>
      </c>
      <c r="K944" s="303"/>
      <c r="L944" s="302">
        <v>22.354146339419916</v>
      </c>
      <c r="M944" s="302">
        <v>6.5159373171107511</v>
      </c>
      <c r="N944" s="302">
        <v>9.9527215653618004</v>
      </c>
      <c r="O944" s="302">
        <f>SUM(L944:N944)</f>
        <v>38.822805221892466</v>
      </c>
    </row>
    <row r="945" spans="1:15" s="236" customFormat="1" x14ac:dyDescent="0.3">
      <c r="A945" s="237" t="str">
        <f>name!E$5</f>
        <v>Professional occupations</v>
      </c>
      <c r="B945" s="302">
        <v>60.193225969085958</v>
      </c>
      <c r="C945" s="302">
        <v>8.848600692478481</v>
      </c>
      <c r="D945" s="302">
        <v>28.009681740459445</v>
      </c>
      <c r="E945" s="302">
        <f t="shared" ref="E945:E952" si="406">SUM(B945:D945)</f>
        <v>97.051508402023885</v>
      </c>
      <c r="F945" s="303"/>
      <c r="G945" s="302">
        <v>65.02648526457898</v>
      </c>
      <c r="H945" s="302">
        <v>8.5062362221981935</v>
      </c>
      <c r="I945" s="302">
        <v>21.026245545998631</v>
      </c>
      <c r="J945" s="302">
        <f t="shared" ref="J945:J947" si="407">SUM(G945:I945)</f>
        <v>94.558967032775811</v>
      </c>
      <c r="K945" s="303"/>
      <c r="L945" s="302">
        <v>89.123718062418973</v>
      </c>
      <c r="M945" s="302">
        <v>12.299181074317042</v>
      </c>
      <c r="N945" s="302">
        <v>26.625683099511999</v>
      </c>
      <c r="O945" s="302">
        <f t="shared" ref="O945:O952" si="408">SUM(L945:N945)</f>
        <v>128.04858223624802</v>
      </c>
    </row>
    <row r="946" spans="1:15" s="236" customFormat="1" x14ac:dyDescent="0.3">
      <c r="A946" s="237" t="str">
        <f>name!E$6</f>
        <v>Associate professional occupations</v>
      </c>
      <c r="B946" s="302">
        <v>31.850743399550257</v>
      </c>
      <c r="C946" s="302">
        <v>6.7997370392499423</v>
      </c>
      <c r="D946" s="302">
        <v>12.972135936008259</v>
      </c>
      <c r="E946" s="302">
        <f t="shared" si="406"/>
        <v>51.622616374808459</v>
      </c>
      <c r="F946" s="303"/>
      <c r="G946" s="302">
        <v>30.186793492958554</v>
      </c>
      <c r="H946" s="302">
        <v>5.3422215585586734</v>
      </c>
      <c r="I946" s="302">
        <v>9.8478012646888118</v>
      </c>
      <c r="J946" s="302">
        <f t="shared" si="407"/>
        <v>45.376816316206039</v>
      </c>
      <c r="K946" s="303"/>
      <c r="L946" s="302">
        <v>35.166482541739747</v>
      </c>
      <c r="M946" s="302">
        <v>7.0023506373059821</v>
      </c>
      <c r="N946" s="302">
        <v>14.068375998327676</v>
      </c>
      <c r="O946" s="302">
        <f t="shared" si="408"/>
        <v>56.237209177373401</v>
      </c>
    </row>
    <row r="947" spans="1:15" s="236" customFormat="1" x14ac:dyDescent="0.3">
      <c r="A947" s="237" t="str">
        <f>name!E$7</f>
        <v>Administrative and secretarial occupations</v>
      </c>
      <c r="B947" s="302">
        <v>25.31469471415565</v>
      </c>
      <c r="C947" s="302">
        <v>18.600803651362824</v>
      </c>
      <c r="D947" s="302">
        <v>7.1193350491376881</v>
      </c>
      <c r="E947" s="302">
        <f t="shared" si="406"/>
        <v>51.034833414656163</v>
      </c>
      <c r="F947" s="303"/>
      <c r="G947" s="302">
        <v>19.179037058425948</v>
      </c>
      <c r="H947" s="302">
        <v>12.099445232611005</v>
      </c>
      <c r="I947" s="302">
        <v>5.0655985336709595</v>
      </c>
      <c r="J947" s="302">
        <f t="shared" si="407"/>
        <v>36.344080824707909</v>
      </c>
      <c r="K947" s="303"/>
      <c r="L947" s="302">
        <v>14.751860937092339</v>
      </c>
      <c r="M947" s="302">
        <v>12.323855874078246</v>
      </c>
      <c r="N947" s="302">
        <v>6.1285758142532361</v>
      </c>
      <c r="O947" s="302">
        <f t="shared" si="408"/>
        <v>33.204292625423825</v>
      </c>
    </row>
    <row r="948" spans="1:15" s="236" customFormat="1" x14ac:dyDescent="0.3">
      <c r="A948" s="237" t="str">
        <f>name!E$8</f>
        <v>Skilled trades occupations</v>
      </c>
      <c r="B948" s="302">
        <v>3.2691485067779191</v>
      </c>
      <c r="C948" s="302">
        <v>0.90911133951474155</v>
      </c>
      <c r="D948" s="302">
        <v>1.4517161155524705</v>
      </c>
      <c r="E948" s="302">
        <f t="shared" si="406"/>
        <v>5.6299759618451315</v>
      </c>
      <c r="F948" s="303"/>
      <c r="G948" s="302">
        <v>2.092594077773545</v>
      </c>
      <c r="H948" s="302">
        <v>0.33980471286749775</v>
      </c>
      <c r="I948" s="302">
        <v>0.89364296781223362</v>
      </c>
      <c r="J948" s="302">
        <f>SUM(G948:I948)</f>
        <v>3.3260417584532767</v>
      </c>
      <c r="K948" s="303"/>
      <c r="L948" s="302">
        <v>2.6871733491215397</v>
      </c>
      <c r="M948" s="302">
        <v>0.6437574878133564</v>
      </c>
      <c r="N948" s="302">
        <v>1.6010159558119721</v>
      </c>
      <c r="O948" s="302">
        <f t="shared" si="408"/>
        <v>4.9319467927468681</v>
      </c>
    </row>
    <row r="949" spans="1:15" s="236" customFormat="1" x14ac:dyDescent="0.3">
      <c r="A949" s="237" t="str">
        <f>name!E$9</f>
        <v>Caring, leisure and other service occupations</v>
      </c>
      <c r="B949" s="302">
        <v>0.49388823598888787</v>
      </c>
      <c r="C949" s="302">
        <v>0.18873305177193123</v>
      </c>
      <c r="D949" s="302">
        <v>0.61408051789743423</v>
      </c>
      <c r="E949" s="302">
        <f t="shared" si="406"/>
        <v>1.2967018056582533</v>
      </c>
      <c r="F949" s="303"/>
      <c r="G949" s="302">
        <v>0.36282774072466056</v>
      </c>
      <c r="H949" s="302">
        <v>0.11603700755592036</v>
      </c>
      <c r="I949" s="302">
        <v>0.47354778589032592</v>
      </c>
      <c r="J949" s="302">
        <f t="shared" ref="J949:J952" si="409">SUM(G949:I949)</f>
        <v>0.95241253417090688</v>
      </c>
      <c r="K949" s="303"/>
      <c r="L949" s="302">
        <v>0.45098952144711218</v>
      </c>
      <c r="M949" s="302">
        <v>0.13110911285080259</v>
      </c>
      <c r="N949" s="302">
        <v>1.0542997207432196</v>
      </c>
      <c r="O949" s="302">
        <f t="shared" si="408"/>
        <v>1.6363983550411345</v>
      </c>
    </row>
    <row r="950" spans="1:15" s="236" customFormat="1" x14ac:dyDescent="0.3">
      <c r="A950" s="237" t="str">
        <f>name!E$10</f>
        <v>Sales and customer service occupations</v>
      </c>
      <c r="B950" s="302">
        <v>5.1720164546564451</v>
      </c>
      <c r="C950" s="302">
        <v>2.9285131876111321</v>
      </c>
      <c r="D950" s="302">
        <v>1.9805406698932635</v>
      </c>
      <c r="E950" s="302">
        <f t="shared" si="406"/>
        <v>10.081070312160842</v>
      </c>
      <c r="F950" s="303"/>
      <c r="G950" s="302">
        <v>3.837162695908841</v>
      </c>
      <c r="H950" s="302">
        <v>1.8258642629479289</v>
      </c>
      <c r="I950" s="302">
        <v>1.0026156795085808</v>
      </c>
      <c r="J950" s="302">
        <f t="shared" si="409"/>
        <v>6.6656426383653509</v>
      </c>
      <c r="K950" s="303"/>
      <c r="L950" s="302">
        <v>4.431701703989158</v>
      </c>
      <c r="M950" s="302">
        <v>2.4842615333996694</v>
      </c>
      <c r="N950" s="302">
        <v>1.138067019110004</v>
      </c>
      <c r="O950" s="302">
        <f t="shared" si="408"/>
        <v>8.054030256498832</v>
      </c>
    </row>
    <row r="951" spans="1:15" s="236" customFormat="1" x14ac:dyDescent="0.3">
      <c r="A951" s="237" t="str">
        <f>name!E$11</f>
        <v>Process, plant and machine operatives</v>
      </c>
      <c r="B951" s="302">
        <v>1.0697686859261002</v>
      </c>
      <c r="C951" s="302">
        <v>0.71675653271642525</v>
      </c>
      <c r="D951" s="302">
        <v>0.50043207035151149</v>
      </c>
      <c r="E951" s="302">
        <f t="shared" si="406"/>
        <v>2.2869572889940368</v>
      </c>
      <c r="F951" s="303"/>
      <c r="G951" s="302">
        <v>0.55746588020612875</v>
      </c>
      <c r="H951" s="302">
        <v>0.36171474700789552</v>
      </c>
      <c r="I951" s="302">
        <v>0.40281601016039476</v>
      </c>
      <c r="J951" s="302">
        <f t="shared" si="409"/>
        <v>1.321996637374419</v>
      </c>
      <c r="K951" s="303"/>
      <c r="L951" s="302">
        <v>0.65988156574722934</v>
      </c>
      <c r="M951" s="302">
        <v>0.69952929272457487</v>
      </c>
      <c r="N951" s="302">
        <v>0.85367309890685616</v>
      </c>
      <c r="O951" s="302">
        <f t="shared" si="408"/>
        <v>2.2130839573786605</v>
      </c>
    </row>
    <row r="952" spans="1:15" s="236" customFormat="1" x14ac:dyDescent="0.3">
      <c r="A952" s="237" t="str">
        <f>name!E$12</f>
        <v>Elementary occupations</v>
      </c>
      <c r="B952" s="302">
        <v>1.8759431414601735</v>
      </c>
      <c r="C952" s="302">
        <v>1.5159494747925222</v>
      </c>
      <c r="D952" s="302">
        <v>0.99395039047499112</v>
      </c>
      <c r="E952" s="302">
        <f t="shared" si="406"/>
        <v>4.3858430067276863</v>
      </c>
      <c r="F952" s="303"/>
      <c r="G952" s="302">
        <v>1.1977616773102528</v>
      </c>
      <c r="H952" s="302">
        <v>0.82247102563373109</v>
      </c>
      <c r="I952" s="302">
        <v>0.53046883356942531</v>
      </c>
      <c r="J952" s="302">
        <f t="shared" si="409"/>
        <v>2.5507015365134094</v>
      </c>
      <c r="K952" s="303"/>
      <c r="L952" s="302">
        <v>1.188045979780664</v>
      </c>
      <c r="M952" s="302">
        <v>0.84001767057612231</v>
      </c>
      <c r="N952" s="302">
        <v>1.2215877295919146</v>
      </c>
      <c r="O952" s="302">
        <f t="shared" si="408"/>
        <v>3.249651379948701</v>
      </c>
    </row>
    <row r="953" spans="1:15" s="236" customFormat="1" x14ac:dyDescent="0.3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3">
      <c r="A954" s="244" t="s">
        <v>32</v>
      </c>
      <c r="B954" s="311">
        <f>SUM(B944:B952)</f>
        <v>149.54199999671866</v>
      </c>
      <c r="C954" s="311">
        <f t="shared" ref="C954:E954" si="410">SUM(C944:C952)</f>
        <v>44.944999999711541</v>
      </c>
      <c r="D954" s="311">
        <f t="shared" si="410"/>
        <v>61.595000000299308</v>
      </c>
      <c r="E954" s="311">
        <f t="shared" si="410"/>
        <v>256.08199999672945</v>
      </c>
      <c r="F954" s="311"/>
      <c r="G954" s="311">
        <f t="shared" ref="G954:J954" si="411">SUM(G944:G952)</f>
        <v>140.75999999944497</v>
      </c>
      <c r="H954" s="311">
        <f t="shared" si="411"/>
        <v>33.884999999967924</v>
      </c>
      <c r="I954" s="311">
        <f t="shared" si="411"/>
        <v>46.390000000347392</v>
      </c>
      <c r="J954" s="311">
        <f t="shared" si="411"/>
        <v>221.03499999976026</v>
      </c>
      <c r="K954" s="311"/>
      <c r="L954" s="311">
        <f t="shared" ref="L954:O954" si="412">SUM(L944:L952)</f>
        <v>170.81400000075666</v>
      </c>
      <c r="M954" s="311">
        <f t="shared" si="412"/>
        <v>42.940000000176546</v>
      </c>
      <c r="N954" s="311">
        <f t="shared" si="412"/>
        <v>62.644000001618679</v>
      </c>
      <c r="O954" s="311">
        <f t="shared" si="412"/>
        <v>276.39800000255195</v>
      </c>
    </row>
    <row r="955" spans="1:15" s="236" customFormat="1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3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3">
      <c r="A958" s="241" t="str">
        <f>name!A59</f>
        <v>Other professional</v>
      </c>
      <c r="B958" s="375">
        <f>$B$6</f>
        <v>2015</v>
      </c>
      <c r="C958" s="375"/>
      <c r="D958" s="375"/>
      <c r="E958" s="375"/>
      <c r="F958" s="263"/>
      <c r="G958" s="375">
        <f>$G$6</f>
        <v>2020</v>
      </c>
      <c r="H958" s="375"/>
      <c r="I958" s="375"/>
      <c r="J958" s="375"/>
      <c r="K958" s="263"/>
      <c r="L958" s="375">
        <f>$L$6</f>
        <v>2035</v>
      </c>
      <c r="M958" s="375"/>
      <c r="N958" s="375"/>
      <c r="O958" s="375"/>
    </row>
    <row r="959" spans="1:15" s="236" customFormat="1" x14ac:dyDescent="0.3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3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3">
      <c r="A961" s="237" t="str">
        <f>name!E$4</f>
        <v>Managers, directors and senior officials</v>
      </c>
      <c r="B961" s="302">
        <v>15.080121255027619</v>
      </c>
      <c r="C961" s="302">
        <v>1.8896773508961364</v>
      </c>
      <c r="D961" s="302">
        <v>7.9991965361426489</v>
      </c>
      <c r="E961" s="302">
        <f>SUM(B961:D961)</f>
        <v>24.968995142066404</v>
      </c>
      <c r="F961" s="303"/>
      <c r="G961" s="302">
        <v>17.224243640386224</v>
      </c>
      <c r="H961" s="302">
        <v>3.2691974566011068</v>
      </c>
      <c r="I961" s="302">
        <v>9.0811638492403883</v>
      </c>
      <c r="J961" s="302">
        <f>SUM(G961:I961)</f>
        <v>29.574604946227716</v>
      </c>
      <c r="K961" s="303"/>
      <c r="L961" s="302">
        <v>21.230442000866574</v>
      </c>
      <c r="M961" s="302">
        <v>4.8389766690738991</v>
      </c>
      <c r="N961" s="302">
        <v>13.337427480077128</v>
      </c>
      <c r="O961" s="302">
        <f>SUM(L961:N961)</f>
        <v>39.4068461500176</v>
      </c>
    </row>
    <row r="962" spans="1:15" s="236" customFormat="1" x14ac:dyDescent="0.3">
      <c r="A962" s="237" t="str">
        <f>name!E$5</f>
        <v>Professional occupations</v>
      </c>
      <c r="B962" s="302">
        <v>35.104710118815809</v>
      </c>
      <c r="C962" s="302">
        <v>3.2424414116438944</v>
      </c>
      <c r="D962" s="302">
        <v>21.727947913701943</v>
      </c>
      <c r="E962" s="302">
        <f t="shared" ref="E962:E969" si="413">SUM(B962:D962)</f>
        <v>60.075099444161651</v>
      </c>
      <c r="F962" s="303"/>
      <c r="G962" s="302">
        <v>47.570559321642456</v>
      </c>
      <c r="H962" s="302">
        <v>5.7490192219715848</v>
      </c>
      <c r="I962" s="302">
        <v>21.773612774646843</v>
      </c>
      <c r="J962" s="302">
        <f t="shared" ref="J962:J964" si="414">SUM(G962:I962)</f>
        <v>75.093191318260892</v>
      </c>
      <c r="K962" s="303"/>
      <c r="L962" s="302">
        <v>67.912463782951534</v>
      </c>
      <c r="M962" s="302">
        <v>8.7266639636086865</v>
      </c>
      <c r="N962" s="302">
        <v>26.442244517243495</v>
      </c>
      <c r="O962" s="302">
        <f t="shared" ref="O962:O969" si="415">SUM(L962:N962)</f>
        <v>103.08137226380371</v>
      </c>
    </row>
    <row r="963" spans="1:15" s="236" customFormat="1" x14ac:dyDescent="0.3">
      <c r="A963" s="237" t="str">
        <f>name!E$6</f>
        <v>Associate professional occupations</v>
      </c>
      <c r="B963" s="302">
        <v>21.861668636600747</v>
      </c>
      <c r="C963" s="302">
        <v>3.0733772010753175</v>
      </c>
      <c r="D963" s="302">
        <v>12.693842890578747</v>
      </c>
      <c r="E963" s="302">
        <f t="shared" si="413"/>
        <v>37.628888728254807</v>
      </c>
      <c r="F963" s="303"/>
      <c r="G963" s="302">
        <v>26.074542982798839</v>
      </c>
      <c r="H963" s="302">
        <v>4.5186124712631504</v>
      </c>
      <c r="I963" s="302">
        <v>13.178367941099761</v>
      </c>
      <c r="J963" s="302">
        <f t="shared" si="414"/>
        <v>43.771523395161751</v>
      </c>
      <c r="K963" s="303"/>
      <c r="L963" s="302">
        <v>30.142313945232203</v>
      </c>
      <c r="M963" s="302">
        <v>6.1395011618606405</v>
      </c>
      <c r="N963" s="302">
        <v>16.684552260145079</v>
      </c>
      <c r="O963" s="302">
        <f t="shared" si="415"/>
        <v>52.966367367237922</v>
      </c>
    </row>
    <row r="964" spans="1:15" s="236" customFormat="1" x14ac:dyDescent="0.3">
      <c r="A964" s="237" t="str">
        <f>name!E$7</f>
        <v>Administrative and secretarial occupations</v>
      </c>
      <c r="B964" s="302">
        <v>16.322780957533965</v>
      </c>
      <c r="C964" s="302">
        <v>7.4614865492912479</v>
      </c>
      <c r="D964" s="302">
        <v>4.4617503907619289</v>
      </c>
      <c r="E964" s="302">
        <f t="shared" si="413"/>
        <v>28.246017897587141</v>
      </c>
      <c r="F964" s="303"/>
      <c r="G964" s="302">
        <v>17.783332514563362</v>
      </c>
      <c r="H964" s="302">
        <v>9.9689277467954156</v>
      </c>
      <c r="I964" s="302">
        <v>4.8771013902682379</v>
      </c>
      <c r="J964" s="302">
        <f t="shared" si="414"/>
        <v>32.629361651627015</v>
      </c>
      <c r="K964" s="303"/>
      <c r="L964" s="302">
        <v>15.843981502339416</v>
      </c>
      <c r="M964" s="302">
        <v>11.664245185044562</v>
      </c>
      <c r="N964" s="302">
        <v>6.4115605403006981</v>
      </c>
      <c r="O964" s="302">
        <f t="shared" si="415"/>
        <v>33.919787227684679</v>
      </c>
    </row>
    <row r="965" spans="1:15" s="236" customFormat="1" x14ac:dyDescent="0.3">
      <c r="A965" s="237" t="str">
        <f>name!E$8</f>
        <v>Skilled trades occupations</v>
      </c>
      <c r="B965" s="302">
        <v>3.4162125824517537</v>
      </c>
      <c r="C965" s="302">
        <v>0.55319147383430256</v>
      </c>
      <c r="D965" s="302">
        <v>2.9683616042168968</v>
      </c>
      <c r="E965" s="302">
        <f t="shared" si="413"/>
        <v>6.9377656605029525</v>
      </c>
      <c r="F965" s="303"/>
      <c r="G965" s="302">
        <v>2.8157027165695712</v>
      </c>
      <c r="H965" s="302">
        <v>0.41490831903308517</v>
      </c>
      <c r="I965" s="302">
        <v>2.3705723045658291</v>
      </c>
      <c r="J965" s="302">
        <f>SUM(G965:I965)</f>
        <v>5.6011833401684861</v>
      </c>
      <c r="K965" s="303"/>
      <c r="L965" s="302">
        <v>2.9972277506928733</v>
      </c>
      <c r="M965" s="302">
        <v>0.75772275701335312</v>
      </c>
      <c r="N965" s="302">
        <v>3.2800714876706798</v>
      </c>
      <c r="O965" s="302">
        <f t="shared" si="415"/>
        <v>7.0350219953769066</v>
      </c>
    </row>
    <row r="966" spans="1:15" s="236" customFormat="1" x14ac:dyDescent="0.3">
      <c r="A966" s="237" t="str">
        <f>name!E$9</f>
        <v>Caring, leisure and other service occupations</v>
      </c>
      <c r="B966" s="302">
        <v>2.5053880259786889</v>
      </c>
      <c r="C966" s="302">
        <v>1.6812436911402511</v>
      </c>
      <c r="D966" s="302">
        <v>2.2983975074838998</v>
      </c>
      <c r="E966" s="302">
        <f t="shared" si="413"/>
        <v>6.4850292246028403</v>
      </c>
      <c r="F966" s="303"/>
      <c r="G966" s="302">
        <v>2.6304227373657731</v>
      </c>
      <c r="H966" s="302">
        <v>2.1473325599000264</v>
      </c>
      <c r="I966" s="302">
        <v>2.6340606187580571</v>
      </c>
      <c r="J966" s="302">
        <f t="shared" ref="J966:J969" si="416">SUM(G966:I966)</f>
        <v>7.4118159160238566</v>
      </c>
      <c r="K966" s="303"/>
      <c r="L966" s="302">
        <v>3.2005040839241996</v>
      </c>
      <c r="M966" s="302">
        <v>2.5737183146491249</v>
      </c>
      <c r="N966" s="302">
        <v>4.0510975958671338</v>
      </c>
      <c r="O966" s="302">
        <f t="shared" si="415"/>
        <v>9.8253199944404592</v>
      </c>
    </row>
    <row r="967" spans="1:15" s="236" customFormat="1" x14ac:dyDescent="0.3">
      <c r="A967" s="237" t="str">
        <f>name!E$10</f>
        <v>Sales and customer service occupations</v>
      </c>
      <c r="B967" s="302">
        <v>5.3687755353310482</v>
      </c>
      <c r="C967" s="302">
        <v>1.8980310065158914</v>
      </c>
      <c r="D967" s="302">
        <v>1.8915783806396815</v>
      </c>
      <c r="E967" s="302">
        <f t="shared" si="413"/>
        <v>9.1583849224866221</v>
      </c>
      <c r="F967" s="303"/>
      <c r="G967" s="302">
        <v>5.3988112585731853</v>
      </c>
      <c r="H967" s="302">
        <v>2.4902877513796962</v>
      </c>
      <c r="I967" s="302">
        <v>1.4444890335500058</v>
      </c>
      <c r="J967" s="302">
        <f t="shared" si="416"/>
        <v>9.3335880435028873</v>
      </c>
      <c r="K967" s="303"/>
      <c r="L967" s="302">
        <v>6.8589630503735135</v>
      </c>
      <c r="M967" s="302">
        <v>3.9335409536078538</v>
      </c>
      <c r="N967" s="302">
        <v>1.734728957433906</v>
      </c>
      <c r="O967" s="302">
        <f t="shared" si="415"/>
        <v>12.527232961415272</v>
      </c>
    </row>
    <row r="968" spans="1:15" s="236" customFormat="1" x14ac:dyDescent="0.3">
      <c r="A968" s="237" t="str">
        <f>name!E$11</f>
        <v>Process, plant and machine operatives</v>
      </c>
      <c r="B968" s="302">
        <v>2.3909009764108911</v>
      </c>
      <c r="C968" s="302">
        <v>0.69810155370065741</v>
      </c>
      <c r="D968" s="302">
        <v>0.62967427789609864</v>
      </c>
      <c r="E968" s="302">
        <f t="shared" si="413"/>
        <v>3.7186768080076469</v>
      </c>
      <c r="F968" s="303"/>
      <c r="G968" s="302">
        <v>1.7850733029858923</v>
      </c>
      <c r="H968" s="302">
        <v>0.70326901486287285</v>
      </c>
      <c r="I968" s="302">
        <v>0.67462847341949939</v>
      </c>
      <c r="J968" s="302">
        <f t="shared" si="416"/>
        <v>3.1629707912682647</v>
      </c>
      <c r="K968" s="303"/>
      <c r="L968" s="302">
        <v>1.8976354139514711</v>
      </c>
      <c r="M968" s="302">
        <v>1.109421851520435</v>
      </c>
      <c r="N968" s="302">
        <v>1.0971927165974453</v>
      </c>
      <c r="O968" s="302">
        <f t="shared" si="415"/>
        <v>4.1042499820693514</v>
      </c>
    </row>
    <row r="969" spans="1:15" s="236" customFormat="1" x14ac:dyDescent="0.3">
      <c r="A969" s="237" t="str">
        <f>name!E$12</f>
        <v>Elementary occupations</v>
      </c>
      <c r="B969" s="302">
        <v>11.851441910120927</v>
      </c>
      <c r="C969" s="302">
        <v>8.9764497620648882</v>
      </c>
      <c r="D969" s="302">
        <v>9.5012504993081421</v>
      </c>
      <c r="E969" s="302">
        <f t="shared" si="413"/>
        <v>30.329142171493956</v>
      </c>
      <c r="F969" s="303"/>
      <c r="G969" s="302">
        <v>9.9233115243279393</v>
      </c>
      <c r="H969" s="302">
        <v>9.0964454582847782</v>
      </c>
      <c r="I969" s="302">
        <v>7.9400036145970274</v>
      </c>
      <c r="J969" s="302">
        <f t="shared" si="416"/>
        <v>26.959760597209748</v>
      </c>
      <c r="K969" s="303"/>
      <c r="L969" s="302">
        <v>8.8014684697513914</v>
      </c>
      <c r="M969" s="302">
        <v>8.2272091437851351</v>
      </c>
      <c r="N969" s="302">
        <v>12.11012444652456</v>
      </c>
      <c r="O969" s="302">
        <f t="shared" si="415"/>
        <v>29.138802060061089</v>
      </c>
    </row>
    <row r="970" spans="1:15" s="236" customFormat="1" x14ac:dyDescent="0.3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3">
      <c r="A971" s="244" t="s">
        <v>32</v>
      </c>
      <c r="B971" s="311">
        <f>SUM(B961:B969)</f>
        <v>113.90199999827145</v>
      </c>
      <c r="C971" s="311">
        <f t="shared" ref="C971:E971" si="417">SUM(C961:C969)</f>
        <v>29.474000000162587</v>
      </c>
      <c r="D971" s="311">
        <f t="shared" si="417"/>
        <v>64.17200000072998</v>
      </c>
      <c r="E971" s="311">
        <f t="shared" si="417"/>
        <v>207.54799999916401</v>
      </c>
      <c r="F971" s="311"/>
      <c r="G971" s="311">
        <f t="shared" ref="G971:J971" si="418">SUM(G961:G969)</f>
        <v>131.20599999921328</v>
      </c>
      <c r="H971" s="311">
        <f t="shared" si="418"/>
        <v>38.358000000091714</v>
      </c>
      <c r="I971" s="311">
        <f t="shared" si="418"/>
        <v>63.974000000145644</v>
      </c>
      <c r="J971" s="311">
        <f t="shared" si="418"/>
        <v>233.53799999945062</v>
      </c>
      <c r="K971" s="311"/>
      <c r="L971" s="311">
        <f t="shared" ref="L971:O971" si="419">SUM(L961:L969)</f>
        <v>158.88500000008315</v>
      </c>
      <c r="M971" s="311">
        <f t="shared" si="419"/>
        <v>47.971000000163698</v>
      </c>
      <c r="N971" s="311">
        <f t="shared" si="419"/>
        <v>85.149000001860131</v>
      </c>
      <c r="O971" s="311">
        <f t="shared" si="419"/>
        <v>292.00500000210695</v>
      </c>
    </row>
    <row r="972" spans="1:15" s="236" customFormat="1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3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3">
      <c r="A975" s="241" t="str">
        <f>name!A60</f>
        <v>Veterinary</v>
      </c>
      <c r="B975" s="375">
        <f>$B$6</f>
        <v>2015</v>
      </c>
      <c r="C975" s="375"/>
      <c r="D975" s="375"/>
      <c r="E975" s="375"/>
      <c r="F975" s="263"/>
      <c r="G975" s="375">
        <f>$G$6</f>
        <v>2020</v>
      </c>
      <c r="H975" s="375"/>
      <c r="I975" s="375"/>
      <c r="J975" s="375"/>
      <c r="K975" s="263"/>
      <c r="L975" s="375">
        <f>$L$6</f>
        <v>2035</v>
      </c>
      <c r="M975" s="375"/>
      <c r="N975" s="375"/>
      <c r="O975" s="375"/>
    </row>
    <row r="976" spans="1:15" s="236" customFormat="1" x14ac:dyDescent="0.3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3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3">
      <c r="A978" s="237" t="str">
        <f>name!E$4</f>
        <v>Managers, directors and senior officials</v>
      </c>
      <c r="B978" s="302">
        <v>2.152460490531777</v>
      </c>
      <c r="C978" s="302">
        <v>0.43197897126651646</v>
      </c>
      <c r="D978" s="302">
        <v>1.0273858775751663</v>
      </c>
      <c r="E978" s="302">
        <f>SUM(B978:D978)</f>
        <v>3.6118253393734596</v>
      </c>
      <c r="F978" s="303"/>
      <c r="G978" s="302">
        <v>3.1761619703355235</v>
      </c>
      <c r="H978" s="302">
        <v>0.79796629747104386</v>
      </c>
      <c r="I978" s="302">
        <v>1.4724622460423418</v>
      </c>
      <c r="J978" s="302">
        <f>SUM(G978:I978)</f>
        <v>5.4465905138489088</v>
      </c>
      <c r="K978" s="303"/>
      <c r="L978" s="302">
        <v>3.6984701696801174</v>
      </c>
      <c r="M978" s="302">
        <v>1.0560198484218883</v>
      </c>
      <c r="N978" s="302">
        <v>2.2058607725023784</v>
      </c>
      <c r="O978" s="302">
        <f>SUM(L978:N978)</f>
        <v>6.9603507906043838</v>
      </c>
    </row>
    <row r="979" spans="1:15" s="236" customFormat="1" x14ac:dyDescent="0.3">
      <c r="A979" s="237" t="str">
        <f>name!E$5</f>
        <v>Professional occupations</v>
      </c>
      <c r="B979" s="302">
        <v>12.040223329260872</v>
      </c>
      <c r="C979" s="302">
        <v>3.4197002633108862</v>
      </c>
      <c r="D979" s="302">
        <v>6.0311031608969303</v>
      </c>
      <c r="E979" s="302">
        <f t="shared" ref="E979:E986" si="420">SUM(B979:D979)</f>
        <v>21.491026753468688</v>
      </c>
      <c r="F979" s="303"/>
      <c r="G979" s="302">
        <v>18.936329651588576</v>
      </c>
      <c r="H979" s="302">
        <v>6.1742899754934166</v>
      </c>
      <c r="I979" s="302">
        <v>8.9652950303190391</v>
      </c>
      <c r="J979" s="302">
        <f t="shared" ref="J979:J981" si="421">SUM(G979:I979)</f>
        <v>34.075914657401029</v>
      </c>
      <c r="K979" s="303"/>
      <c r="L979" s="302">
        <v>24.212526033483918</v>
      </c>
      <c r="M979" s="302">
        <v>9.0102628774559825</v>
      </c>
      <c r="N979" s="302">
        <v>12.801135357403941</v>
      </c>
      <c r="O979" s="302">
        <f t="shared" ref="O979:O986" si="422">SUM(L979:N979)</f>
        <v>46.023924268343841</v>
      </c>
    </row>
    <row r="980" spans="1:15" s="236" customFormat="1" x14ac:dyDescent="0.3">
      <c r="A980" s="237" t="str">
        <f>name!E$6</f>
        <v>Associate professional occupations</v>
      </c>
      <c r="B980" s="302">
        <v>5.0863099032535573</v>
      </c>
      <c r="C980" s="302">
        <v>1.9141975310699799</v>
      </c>
      <c r="D980" s="302">
        <v>2.7301244918758094</v>
      </c>
      <c r="E980" s="302">
        <f t="shared" si="420"/>
        <v>9.7306319261993472</v>
      </c>
      <c r="F980" s="303"/>
      <c r="G980" s="302">
        <v>7.4407400956314502</v>
      </c>
      <c r="H980" s="302">
        <v>3.3689791528467397</v>
      </c>
      <c r="I980" s="302">
        <v>3.1553075282424192</v>
      </c>
      <c r="J980" s="302">
        <f t="shared" si="421"/>
        <v>13.96502677672061</v>
      </c>
      <c r="K980" s="303"/>
      <c r="L980" s="302">
        <v>8.9451930526219439</v>
      </c>
      <c r="M980" s="302">
        <v>4.3275894267691886</v>
      </c>
      <c r="N980" s="302">
        <v>4.6538493478002598</v>
      </c>
      <c r="O980" s="302">
        <f t="shared" si="422"/>
        <v>17.926631827191393</v>
      </c>
    </row>
    <row r="981" spans="1:15" s="236" customFormat="1" x14ac:dyDescent="0.3">
      <c r="A981" s="237" t="str">
        <f>name!E$7</f>
        <v>Administrative and secretarial occupations</v>
      </c>
      <c r="B981" s="302">
        <v>2.6777108699388683</v>
      </c>
      <c r="C981" s="302">
        <v>2.1291880459846917</v>
      </c>
      <c r="D981" s="302">
        <v>0.65595424084918186</v>
      </c>
      <c r="E981" s="302">
        <f t="shared" si="420"/>
        <v>5.4628531567727414</v>
      </c>
      <c r="F981" s="303"/>
      <c r="G981" s="302">
        <v>3.5243064301949887</v>
      </c>
      <c r="H981" s="302">
        <v>3.1698941089413539</v>
      </c>
      <c r="I981" s="302">
        <v>0.57609979400433464</v>
      </c>
      <c r="J981" s="302">
        <f t="shared" si="421"/>
        <v>7.2703003331406775</v>
      </c>
      <c r="K981" s="303"/>
      <c r="L981" s="302">
        <v>3.3435441917274704</v>
      </c>
      <c r="M981" s="302">
        <v>2.3089309706451306</v>
      </c>
      <c r="N981" s="302">
        <v>0.41476768789358776</v>
      </c>
      <c r="O981" s="302">
        <f t="shared" si="422"/>
        <v>6.0672428502661893</v>
      </c>
    </row>
    <row r="982" spans="1:15" s="236" customFormat="1" x14ac:dyDescent="0.3">
      <c r="A982" s="237" t="str">
        <f>name!E$8</f>
        <v>Skilled trades occupations</v>
      </c>
      <c r="B982" s="302">
        <v>0.53566815089243958</v>
      </c>
      <c r="C982" s="302">
        <v>0.28047049591051809</v>
      </c>
      <c r="D982" s="302">
        <v>0.31792676788513341</v>
      </c>
      <c r="E982" s="302">
        <f t="shared" si="420"/>
        <v>1.1340654146880911</v>
      </c>
      <c r="F982" s="303"/>
      <c r="G982" s="302">
        <v>0.52530611200814348</v>
      </c>
      <c r="H982" s="302">
        <v>0.2648568947347833</v>
      </c>
      <c r="I982" s="302">
        <v>0.39378354184294173</v>
      </c>
      <c r="J982" s="302">
        <f>SUM(G982:I982)</f>
        <v>1.1839465485858685</v>
      </c>
      <c r="K982" s="303"/>
      <c r="L982" s="302">
        <v>0.2816304405088243</v>
      </c>
      <c r="M982" s="302">
        <v>0.17734747024108061</v>
      </c>
      <c r="N982" s="302">
        <v>0.62143059103072729</v>
      </c>
      <c r="O982" s="302">
        <f t="shared" si="422"/>
        <v>1.0804085017806322</v>
      </c>
    </row>
    <row r="983" spans="1:15" s="236" customFormat="1" x14ac:dyDescent="0.3">
      <c r="A983" s="237" t="str">
        <f>name!E$9</f>
        <v>Caring, leisure and other service occupations</v>
      </c>
      <c r="B983" s="302">
        <v>10.938125614235638</v>
      </c>
      <c r="C983" s="302">
        <v>6.1581552268541788</v>
      </c>
      <c r="D983" s="302">
        <v>6.6848257979811212</v>
      </c>
      <c r="E983" s="302">
        <f t="shared" si="420"/>
        <v>23.781106639070934</v>
      </c>
      <c r="F983" s="303"/>
      <c r="G983" s="302">
        <v>15.042571524541135</v>
      </c>
      <c r="H983" s="302">
        <v>9.800458911234454</v>
      </c>
      <c r="I983" s="302">
        <v>8.6913825770682518</v>
      </c>
      <c r="J983" s="302">
        <f t="shared" ref="J983:J986" si="423">SUM(G983:I983)</f>
        <v>33.534413012843842</v>
      </c>
      <c r="K983" s="303"/>
      <c r="L983" s="302">
        <v>20.684376367346712</v>
      </c>
      <c r="M983" s="302">
        <v>13.981346495958524</v>
      </c>
      <c r="N983" s="302">
        <v>12.509510959352575</v>
      </c>
      <c r="O983" s="302">
        <f t="shared" si="422"/>
        <v>47.175233822657809</v>
      </c>
    </row>
    <row r="984" spans="1:15" s="236" customFormat="1" x14ac:dyDescent="0.3">
      <c r="A984" s="237" t="str">
        <f>name!E$10</f>
        <v>Sales and customer service occupations</v>
      </c>
      <c r="B984" s="302">
        <v>0.40188077807193801</v>
      </c>
      <c r="C984" s="302">
        <v>0.29193109549600033</v>
      </c>
      <c r="D984" s="302">
        <v>0.22119076641910479</v>
      </c>
      <c r="E984" s="302">
        <f t="shared" si="420"/>
        <v>0.91500263998704323</v>
      </c>
      <c r="F984" s="303"/>
      <c r="G984" s="302">
        <v>0.50969965482375379</v>
      </c>
      <c r="H984" s="302">
        <v>0.42138495078756116</v>
      </c>
      <c r="I984" s="302">
        <v>0.18412272707330032</v>
      </c>
      <c r="J984" s="302">
        <f t="shared" si="423"/>
        <v>1.1152073326846152</v>
      </c>
      <c r="K984" s="303"/>
      <c r="L984" s="302">
        <v>0.61649979018805068</v>
      </c>
      <c r="M984" s="302">
        <v>0.47477031892323746</v>
      </c>
      <c r="N984" s="302">
        <v>0.31701895888096615</v>
      </c>
      <c r="O984" s="302">
        <f t="shared" si="422"/>
        <v>1.4082890679922544</v>
      </c>
    </row>
    <row r="985" spans="1:15" s="236" customFormat="1" x14ac:dyDescent="0.3">
      <c r="A985" s="237" t="str">
        <f>name!E$11</f>
        <v>Process, plant and machine operatives</v>
      </c>
      <c r="B985" s="302">
        <v>0.14360396062951725</v>
      </c>
      <c r="C985" s="302">
        <v>0.27193538658673427</v>
      </c>
      <c r="D985" s="302">
        <v>7.1388911846087935E-2</v>
      </c>
      <c r="E985" s="302">
        <f t="shared" si="420"/>
        <v>0.48692825906233944</v>
      </c>
      <c r="F985" s="303"/>
      <c r="G985" s="302">
        <v>0.13827931767388471</v>
      </c>
      <c r="H985" s="302">
        <v>0.28985877072622079</v>
      </c>
      <c r="I985" s="302">
        <v>9.8591962946860262E-2</v>
      </c>
      <c r="J985" s="302">
        <f t="shared" si="423"/>
        <v>0.52673005134696571</v>
      </c>
      <c r="K985" s="303"/>
      <c r="L985" s="302">
        <v>9.1894504816285652E-2</v>
      </c>
      <c r="M985" s="302">
        <v>0.27599234299810765</v>
      </c>
      <c r="N985" s="302">
        <v>0.12172801264939632</v>
      </c>
      <c r="O985" s="302">
        <f t="shared" si="422"/>
        <v>0.4896148604637896</v>
      </c>
    </row>
    <row r="986" spans="1:15" s="236" customFormat="1" x14ac:dyDescent="0.3">
      <c r="A986" s="237" t="str">
        <f>name!E$12</f>
        <v>Elementary occupations</v>
      </c>
      <c r="B986" s="302">
        <v>0.66501690289801696</v>
      </c>
      <c r="C986" s="302">
        <v>1.079442983282326</v>
      </c>
      <c r="D986" s="302">
        <v>0.2600999837414486</v>
      </c>
      <c r="E986" s="302">
        <f t="shared" si="420"/>
        <v>2.0045598699217915</v>
      </c>
      <c r="F986" s="303"/>
      <c r="G986" s="302">
        <v>0.69360524291507086</v>
      </c>
      <c r="H986" s="302">
        <v>1.1783109374405489</v>
      </c>
      <c r="I986" s="302">
        <v>0.14495459395400123</v>
      </c>
      <c r="J986" s="302">
        <f t="shared" si="423"/>
        <v>2.0168707743096213</v>
      </c>
      <c r="K986" s="303"/>
      <c r="L986" s="302">
        <v>0.41586544957610178</v>
      </c>
      <c r="M986" s="302">
        <v>1.1887402485433098</v>
      </c>
      <c r="N986" s="302">
        <v>0.26369831285140166</v>
      </c>
      <c r="O986" s="302">
        <f t="shared" si="422"/>
        <v>1.8683040109708133</v>
      </c>
    </row>
    <row r="987" spans="1:15" s="236" customFormat="1" x14ac:dyDescent="0.3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3">
      <c r="A988" s="244" t="s">
        <v>32</v>
      </c>
      <c r="B988" s="311">
        <f>SUM(B978:B986)</f>
        <v>34.640999999712633</v>
      </c>
      <c r="C988" s="311">
        <f t="shared" ref="C988:E988" si="424">SUM(C978:C986)</f>
        <v>15.976999999761833</v>
      </c>
      <c r="D988" s="311">
        <f t="shared" si="424"/>
        <v>17.999999999069985</v>
      </c>
      <c r="E988" s="311">
        <f t="shared" si="424"/>
        <v>68.61799999854442</v>
      </c>
      <c r="F988" s="311"/>
      <c r="G988" s="311">
        <f t="shared" ref="G988:J988" si="425">SUM(G978:G986)</f>
        <v>49.986999999712523</v>
      </c>
      <c r="H988" s="311">
        <f t="shared" si="425"/>
        <v>25.465999999676125</v>
      </c>
      <c r="I988" s="311">
        <f t="shared" si="425"/>
        <v>23.682000001493492</v>
      </c>
      <c r="J988" s="311">
        <f t="shared" si="425"/>
        <v>99.135000000882144</v>
      </c>
      <c r="K988" s="311"/>
      <c r="L988" s="311">
        <f t="shared" ref="L988:O988" si="426">SUM(L978:L986)</f>
        <v>62.28999999994943</v>
      </c>
      <c r="M988" s="311">
        <f t="shared" si="426"/>
        <v>32.800999999956453</v>
      </c>
      <c r="N988" s="311">
        <f t="shared" si="426"/>
        <v>33.909000000365239</v>
      </c>
      <c r="O988" s="311">
        <f t="shared" si="426"/>
        <v>129.00000000027111</v>
      </c>
    </row>
    <row r="989" spans="1:15" s="236" customFormat="1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3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3">
      <c r="A992" s="241" t="str">
        <f>name!A61</f>
        <v>Rental and leasing</v>
      </c>
      <c r="B992" s="375">
        <f>$B$6</f>
        <v>2015</v>
      </c>
      <c r="C992" s="375"/>
      <c r="D992" s="375"/>
      <c r="E992" s="375"/>
      <c r="F992" s="263"/>
      <c r="G992" s="375">
        <f>$G$6</f>
        <v>2020</v>
      </c>
      <c r="H992" s="375"/>
      <c r="I992" s="375"/>
      <c r="J992" s="375"/>
      <c r="K992" s="263"/>
      <c r="L992" s="375">
        <f>$L$6</f>
        <v>2035</v>
      </c>
      <c r="M992" s="375"/>
      <c r="N992" s="375"/>
      <c r="O992" s="375"/>
    </row>
    <row r="993" spans="1:15" s="236" customFormat="1" x14ac:dyDescent="0.3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3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3">
      <c r="A995" s="237" t="str">
        <f>name!E$4</f>
        <v>Managers, directors and senior officials</v>
      </c>
      <c r="B995" s="302">
        <v>20.556369845661237</v>
      </c>
      <c r="C995" s="302">
        <v>1.0424597385835574</v>
      </c>
      <c r="D995" s="302">
        <v>5.481928769392507</v>
      </c>
      <c r="E995" s="302">
        <f>SUM(B995:D995)</f>
        <v>27.0807583536373</v>
      </c>
      <c r="F995" s="303"/>
      <c r="G995" s="302">
        <v>20.500017186679056</v>
      </c>
      <c r="H995" s="302">
        <v>1.5910200598907196</v>
      </c>
      <c r="I995" s="302">
        <v>5.1776438926291428</v>
      </c>
      <c r="J995" s="302">
        <f>SUM(G995:I995)</f>
        <v>27.268681139198918</v>
      </c>
      <c r="K995" s="303"/>
      <c r="L995" s="302">
        <v>23.566184694000793</v>
      </c>
      <c r="M995" s="302">
        <v>1.961494385483072</v>
      </c>
      <c r="N995" s="302">
        <v>6.6648373702198702</v>
      </c>
      <c r="O995" s="302">
        <f>SUM(L995:N995)</f>
        <v>32.192516449703731</v>
      </c>
    </row>
    <row r="996" spans="1:15" s="236" customFormat="1" x14ac:dyDescent="0.3">
      <c r="A996" s="237" t="str">
        <f>name!E$5</f>
        <v>Professional occupations</v>
      </c>
      <c r="B996" s="302">
        <v>19.672238077285844</v>
      </c>
      <c r="C996" s="302">
        <v>1.1198590235808947</v>
      </c>
      <c r="D996" s="302">
        <v>2.1172358851116759</v>
      </c>
      <c r="E996" s="302">
        <f t="shared" ref="E996:E1003" si="427">SUM(B996:D996)</f>
        <v>22.909332985978413</v>
      </c>
      <c r="F996" s="303"/>
      <c r="G996" s="302">
        <v>21.725304651446049</v>
      </c>
      <c r="H996" s="302">
        <v>1.8132402677241006</v>
      </c>
      <c r="I996" s="302">
        <v>1.861829283466252</v>
      </c>
      <c r="J996" s="302">
        <f t="shared" ref="J996:J998" si="428">SUM(G996:I996)</f>
        <v>25.400374202636403</v>
      </c>
      <c r="K996" s="303"/>
      <c r="L996" s="302">
        <v>29.230366177662489</v>
      </c>
      <c r="M996" s="302">
        <v>2.6483056193670107</v>
      </c>
      <c r="N996" s="302">
        <v>1.578193372025491</v>
      </c>
      <c r="O996" s="302">
        <f t="shared" ref="O996:O1003" si="429">SUM(L996:N996)</f>
        <v>33.456865169054993</v>
      </c>
    </row>
    <row r="997" spans="1:15" s="236" customFormat="1" x14ac:dyDescent="0.3">
      <c r="A997" s="237" t="str">
        <f>name!E$6</f>
        <v>Associate professional occupations</v>
      </c>
      <c r="B997" s="302">
        <v>14.80591449480092</v>
      </c>
      <c r="C997" s="302">
        <v>1.562367431719756</v>
      </c>
      <c r="D997" s="302">
        <v>1.9756545678519484</v>
      </c>
      <c r="E997" s="302">
        <f t="shared" si="427"/>
        <v>18.343936494372624</v>
      </c>
      <c r="F997" s="303"/>
      <c r="G997" s="302">
        <v>15.253208005838257</v>
      </c>
      <c r="H997" s="302">
        <v>1.9798808816976299</v>
      </c>
      <c r="I997" s="302">
        <v>1.582161603717031</v>
      </c>
      <c r="J997" s="302">
        <f t="shared" si="428"/>
        <v>18.815250491252915</v>
      </c>
      <c r="K997" s="303"/>
      <c r="L997" s="302">
        <v>16.612793881152992</v>
      </c>
      <c r="M997" s="302">
        <v>1.9376941472925273</v>
      </c>
      <c r="N997" s="302">
        <v>1.5749934357269189</v>
      </c>
      <c r="O997" s="302">
        <f t="shared" si="429"/>
        <v>20.125481464172442</v>
      </c>
    </row>
    <row r="998" spans="1:15" s="236" customFormat="1" x14ac:dyDescent="0.3">
      <c r="A998" s="237" t="str">
        <f>name!E$7</f>
        <v>Administrative and secretarial occupations</v>
      </c>
      <c r="B998" s="302">
        <v>13.015141229003273</v>
      </c>
      <c r="C998" s="302">
        <v>3.5097732361178582</v>
      </c>
      <c r="D998" s="302">
        <v>1.1754170765200493</v>
      </c>
      <c r="E998" s="302">
        <f t="shared" si="427"/>
        <v>17.70033154164118</v>
      </c>
      <c r="F998" s="303"/>
      <c r="G998" s="302">
        <v>11.992340412415723</v>
      </c>
      <c r="H998" s="302">
        <v>3.5855468392493739</v>
      </c>
      <c r="I998" s="302">
        <v>0.91584352527706048</v>
      </c>
      <c r="J998" s="302">
        <f t="shared" si="428"/>
        <v>16.493730776942158</v>
      </c>
      <c r="K998" s="303"/>
      <c r="L998" s="302">
        <v>13.267064200913904</v>
      </c>
      <c r="M998" s="302">
        <v>3.1990622552534416</v>
      </c>
      <c r="N998" s="302">
        <v>1.081287213668308</v>
      </c>
      <c r="O998" s="302">
        <f t="shared" si="429"/>
        <v>17.547413669835652</v>
      </c>
    </row>
    <row r="999" spans="1:15" s="236" customFormat="1" x14ac:dyDescent="0.3">
      <c r="A999" s="237" t="str">
        <f>name!E$8</f>
        <v>Skilled trades occupations</v>
      </c>
      <c r="B999" s="302">
        <v>13.534380225739776</v>
      </c>
      <c r="C999" s="302">
        <v>0.8731788977992353</v>
      </c>
      <c r="D999" s="302">
        <v>2.1753815718466618</v>
      </c>
      <c r="E999" s="302">
        <f t="shared" si="427"/>
        <v>16.582940695385673</v>
      </c>
      <c r="F999" s="303"/>
      <c r="G999" s="302">
        <v>9.6189162415416636</v>
      </c>
      <c r="H999" s="302">
        <v>0.53991516087592373</v>
      </c>
      <c r="I999" s="302">
        <v>1.6764574670845562</v>
      </c>
      <c r="J999" s="302">
        <f>SUM(G999:I999)</f>
        <v>11.835288869502143</v>
      </c>
      <c r="K999" s="303"/>
      <c r="L999" s="302">
        <v>8.6520142370433639</v>
      </c>
      <c r="M999" s="302">
        <v>0.72908946845133782</v>
      </c>
      <c r="N999" s="302">
        <v>2.1164621747947274</v>
      </c>
      <c r="O999" s="302">
        <f t="shared" si="429"/>
        <v>11.497565880289429</v>
      </c>
    </row>
    <row r="1000" spans="1:15" s="236" customFormat="1" x14ac:dyDescent="0.3">
      <c r="A1000" s="237" t="str">
        <f>name!E$9</f>
        <v>Caring, leisure and other service occupations</v>
      </c>
      <c r="B1000" s="302">
        <v>2.757478167487156</v>
      </c>
      <c r="C1000" s="302">
        <v>0.74105603285579502</v>
      </c>
      <c r="D1000" s="302">
        <v>0.95054696304555986</v>
      </c>
      <c r="E1000" s="302">
        <f t="shared" si="427"/>
        <v>4.4490811633885112</v>
      </c>
      <c r="F1000" s="303"/>
      <c r="G1000" s="302">
        <v>2.5287396562904658</v>
      </c>
      <c r="H1000" s="302">
        <v>0.82041646474658292</v>
      </c>
      <c r="I1000" s="302">
        <v>0.88980371295693517</v>
      </c>
      <c r="J1000" s="302">
        <f t="shared" ref="J1000:J1003" si="430">SUM(G1000:I1000)</f>
        <v>4.2389598339939836</v>
      </c>
      <c r="K1000" s="303"/>
      <c r="L1000" s="302">
        <v>3.9082391434870276</v>
      </c>
      <c r="M1000" s="302">
        <v>0.99189928296083263</v>
      </c>
      <c r="N1000" s="302">
        <v>1.2518494644518956</v>
      </c>
      <c r="O1000" s="302">
        <f t="shared" si="429"/>
        <v>6.1519878908997558</v>
      </c>
    </row>
    <row r="1001" spans="1:15" s="236" customFormat="1" x14ac:dyDescent="0.3">
      <c r="A1001" s="237" t="str">
        <f>name!E$10</f>
        <v>Sales and customer service occupations</v>
      </c>
      <c r="B1001" s="302">
        <v>6.7453883551886191</v>
      </c>
      <c r="C1001" s="302">
        <v>4.8798116959127844</v>
      </c>
      <c r="D1001" s="302">
        <v>2.7630340163576785</v>
      </c>
      <c r="E1001" s="302">
        <f t="shared" si="427"/>
        <v>14.388234067459083</v>
      </c>
      <c r="F1001" s="303"/>
      <c r="G1001" s="302">
        <v>5.607896313317978</v>
      </c>
      <c r="H1001" s="302">
        <v>4.586949703789422</v>
      </c>
      <c r="I1001" s="302">
        <v>1.8388592539568565</v>
      </c>
      <c r="J1001" s="302">
        <f t="shared" si="430"/>
        <v>12.033705271064257</v>
      </c>
      <c r="K1001" s="303"/>
      <c r="L1001" s="302">
        <v>6.4982595852180376</v>
      </c>
      <c r="M1001" s="302">
        <v>5.2399361287478703</v>
      </c>
      <c r="N1001" s="302">
        <v>1.5475418118305542</v>
      </c>
      <c r="O1001" s="302">
        <f t="shared" si="429"/>
        <v>13.285737525796462</v>
      </c>
    </row>
    <row r="1002" spans="1:15" s="236" customFormat="1" x14ac:dyDescent="0.3">
      <c r="A1002" s="237" t="str">
        <f>name!E$11</f>
        <v>Process, plant and machine operatives</v>
      </c>
      <c r="B1002" s="302">
        <v>13.823541776772592</v>
      </c>
      <c r="C1002" s="302">
        <v>5.3967068516378784</v>
      </c>
      <c r="D1002" s="302">
        <v>1.0491277631553784</v>
      </c>
      <c r="E1002" s="302">
        <f t="shared" si="427"/>
        <v>20.269376391565849</v>
      </c>
      <c r="F1002" s="303"/>
      <c r="G1002" s="302">
        <v>9.8519678636148917</v>
      </c>
      <c r="H1002" s="302">
        <v>5.4091118229463042</v>
      </c>
      <c r="I1002" s="302">
        <v>1.0675683289665241</v>
      </c>
      <c r="J1002" s="302">
        <f t="shared" si="430"/>
        <v>16.328648015527719</v>
      </c>
      <c r="K1002" s="303"/>
      <c r="L1002" s="302">
        <v>9.7174457301790635</v>
      </c>
      <c r="M1002" s="302">
        <v>6.0670940818671255</v>
      </c>
      <c r="N1002" s="302">
        <v>0.94143714674475865</v>
      </c>
      <c r="O1002" s="302">
        <f t="shared" si="429"/>
        <v>16.725976958790948</v>
      </c>
    </row>
    <row r="1003" spans="1:15" s="236" customFormat="1" x14ac:dyDescent="0.3">
      <c r="A1003" s="237" t="str">
        <f>name!E$12</f>
        <v>Elementary occupations</v>
      </c>
      <c r="B1003" s="302">
        <v>2.2865478278603049</v>
      </c>
      <c r="C1003" s="302">
        <v>1.2137870920551692</v>
      </c>
      <c r="D1003" s="302">
        <v>1.7126733869433379</v>
      </c>
      <c r="E1003" s="302">
        <f t="shared" si="427"/>
        <v>5.2130083068588124</v>
      </c>
      <c r="F1003" s="303"/>
      <c r="G1003" s="302">
        <v>1.5736096687166352</v>
      </c>
      <c r="H1003" s="302">
        <v>0.97691879921283142</v>
      </c>
      <c r="I1003" s="302">
        <v>1.2578329320001236</v>
      </c>
      <c r="J1003" s="302">
        <f t="shared" si="430"/>
        <v>3.8083613999295904</v>
      </c>
      <c r="K1003" s="303"/>
      <c r="L1003" s="302">
        <v>1.5846323502541892</v>
      </c>
      <c r="M1003" s="302">
        <v>0.77442463062251388</v>
      </c>
      <c r="N1003" s="302">
        <v>1.7193980107537823</v>
      </c>
      <c r="O1003" s="302">
        <f t="shared" si="429"/>
        <v>4.0784549916304851</v>
      </c>
    </row>
    <row r="1004" spans="1:15" s="236" customFormat="1" x14ac:dyDescent="0.3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3">
      <c r="A1005" s="244" t="s">
        <v>32</v>
      </c>
      <c r="B1005" s="311">
        <f>SUM(B995:B1003)</f>
        <v>107.19699999979971</v>
      </c>
      <c r="C1005" s="311">
        <f t="shared" ref="C1005:E1005" si="431">SUM(C995:C1003)</f>
        <v>20.339000000262928</v>
      </c>
      <c r="D1005" s="311">
        <f t="shared" si="431"/>
        <v>19.401000000224798</v>
      </c>
      <c r="E1005" s="311">
        <f t="shared" si="431"/>
        <v>146.93700000028747</v>
      </c>
      <c r="F1005" s="311"/>
      <c r="G1005" s="311">
        <f t="shared" ref="G1005:J1005" si="432">SUM(G995:G1003)</f>
        <v>98.65199999986072</v>
      </c>
      <c r="H1005" s="311">
        <f t="shared" si="432"/>
        <v>21.30300000013289</v>
      </c>
      <c r="I1005" s="311">
        <f t="shared" si="432"/>
        <v>16.268000000054482</v>
      </c>
      <c r="J1005" s="311">
        <f t="shared" si="432"/>
        <v>136.2230000000481</v>
      </c>
      <c r="K1005" s="311"/>
      <c r="L1005" s="311">
        <f t="shared" ref="L1005:O1005" si="433">SUM(L995:L1003)</f>
        <v>113.03699999991187</v>
      </c>
      <c r="M1005" s="311">
        <f t="shared" si="433"/>
        <v>23.54900000004573</v>
      </c>
      <c r="N1005" s="311">
        <f t="shared" si="433"/>
        <v>18.476000000216303</v>
      </c>
      <c r="O1005" s="311">
        <f t="shared" si="433"/>
        <v>155.06200000017387</v>
      </c>
    </row>
    <row r="1006" spans="1:15" s="236" customFormat="1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3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3">
      <c r="A1009" s="241" t="str">
        <f>name!A62</f>
        <v>Employment activities</v>
      </c>
      <c r="B1009" s="375">
        <f>$B$6</f>
        <v>2015</v>
      </c>
      <c r="C1009" s="375"/>
      <c r="D1009" s="375"/>
      <c r="E1009" s="375"/>
      <c r="F1009" s="263"/>
      <c r="G1009" s="375">
        <f>$G$6</f>
        <v>2020</v>
      </c>
      <c r="H1009" s="375"/>
      <c r="I1009" s="375"/>
      <c r="J1009" s="375"/>
      <c r="K1009" s="263"/>
      <c r="L1009" s="375">
        <f>$L$6</f>
        <v>2035</v>
      </c>
      <c r="M1009" s="375"/>
      <c r="N1009" s="375"/>
      <c r="O1009" s="375"/>
    </row>
    <row r="1010" spans="1:15" s="236" customFormat="1" x14ac:dyDescent="0.3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3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3">
      <c r="A1012" s="237" t="str">
        <f>name!E$4</f>
        <v>Managers, directors and senior officials</v>
      </c>
      <c r="B1012" s="302">
        <v>61.426195744827545</v>
      </c>
      <c r="C1012" s="302">
        <v>11.281316580538808</v>
      </c>
      <c r="D1012" s="302">
        <v>11.146372201534444</v>
      </c>
      <c r="E1012" s="302">
        <f>SUM(B1012:D1012)</f>
        <v>83.853884526900799</v>
      </c>
      <c r="F1012" s="303"/>
      <c r="G1012" s="302">
        <v>59.502330116574207</v>
      </c>
      <c r="H1012" s="302">
        <v>17.455240050978716</v>
      </c>
      <c r="I1012" s="302">
        <v>10.9305691243268</v>
      </c>
      <c r="J1012" s="302">
        <f>SUM(G1012:I1012)</f>
        <v>87.88813929187971</v>
      </c>
      <c r="K1012" s="303"/>
      <c r="L1012" s="302">
        <v>71.767502552720742</v>
      </c>
      <c r="M1012" s="302">
        <v>21.979822415249494</v>
      </c>
      <c r="N1012" s="302">
        <v>13.116838511181809</v>
      </c>
      <c r="O1012" s="302">
        <f>SUM(L1012:N1012)</f>
        <v>106.86416347915204</v>
      </c>
    </row>
    <row r="1013" spans="1:15" s="236" customFormat="1" x14ac:dyDescent="0.3">
      <c r="A1013" s="237" t="str">
        <f>name!E$5</f>
        <v>Professional occupations</v>
      </c>
      <c r="B1013" s="302">
        <v>73.536093908303116</v>
      </c>
      <c r="C1013" s="302">
        <v>13.660180220009414</v>
      </c>
      <c r="D1013" s="302">
        <v>11.38932592726983</v>
      </c>
      <c r="E1013" s="302">
        <f t="shared" ref="E1013:E1020" si="434">SUM(B1013:D1013)</f>
        <v>98.585600055582347</v>
      </c>
      <c r="F1013" s="303"/>
      <c r="G1013" s="302">
        <v>82.340732252180601</v>
      </c>
      <c r="H1013" s="302">
        <v>23.134332413001196</v>
      </c>
      <c r="I1013" s="302">
        <v>10.328914490338445</v>
      </c>
      <c r="J1013" s="302">
        <f t="shared" ref="J1013:J1015" si="435">SUM(G1013:I1013)</f>
        <v>115.80397915552025</v>
      </c>
      <c r="K1013" s="303"/>
      <c r="L1013" s="302">
        <v>109.62814263621834</v>
      </c>
      <c r="M1013" s="302">
        <v>35.145577720671781</v>
      </c>
      <c r="N1013" s="302">
        <v>9.3377772864930382</v>
      </c>
      <c r="O1013" s="302">
        <f t="shared" ref="O1013:O1020" si="436">SUM(L1013:N1013)</f>
        <v>154.11149764338316</v>
      </c>
    </row>
    <row r="1014" spans="1:15" s="236" customFormat="1" x14ac:dyDescent="0.3">
      <c r="A1014" s="237" t="str">
        <f>name!E$6</f>
        <v>Associate professional occupations</v>
      </c>
      <c r="B1014" s="302">
        <v>96.790331083236566</v>
      </c>
      <c r="C1014" s="302">
        <v>20.447445556998062</v>
      </c>
      <c r="D1014" s="302">
        <v>31.510246740832347</v>
      </c>
      <c r="E1014" s="302">
        <f t="shared" si="434"/>
        <v>148.74802338106699</v>
      </c>
      <c r="F1014" s="303"/>
      <c r="G1014" s="302">
        <v>96.747112681567643</v>
      </c>
      <c r="H1014" s="302">
        <v>26.360490016116216</v>
      </c>
      <c r="I1014" s="302">
        <v>29.662545612536917</v>
      </c>
      <c r="J1014" s="302">
        <f t="shared" si="435"/>
        <v>152.77014831022078</v>
      </c>
      <c r="K1014" s="303"/>
      <c r="L1014" s="302">
        <v>101.7925745836702</v>
      </c>
      <c r="M1014" s="302">
        <v>30.645829279972499</v>
      </c>
      <c r="N1014" s="302">
        <v>30.614767698733157</v>
      </c>
      <c r="O1014" s="302">
        <f t="shared" si="436"/>
        <v>163.05317156237584</v>
      </c>
    </row>
    <row r="1015" spans="1:15" s="236" customFormat="1" x14ac:dyDescent="0.3">
      <c r="A1015" s="237" t="str">
        <f>name!E$7</f>
        <v>Administrative and secretarial occupations</v>
      </c>
      <c r="B1015" s="302">
        <v>67.768465492743815</v>
      </c>
      <c r="C1015" s="302">
        <v>27.859428675504681</v>
      </c>
      <c r="D1015" s="302">
        <v>4.7666369218311058</v>
      </c>
      <c r="E1015" s="302">
        <f t="shared" si="434"/>
        <v>100.39453109007961</v>
      </c>
      <c r="F1015" s="303"/>
      <c r="G1015" s="302">
        <v>61.577965328501627</v>
      </c>
      <c r="H1015" s="302">
        <v>31.428929656025183</v>
      </c>
      <c r="I1015" s="302">
        <v>4.2769212212813077</v>
      </c>
      <c r="J1015" s="302">
        <f t="shared" si="435"/>
        <v>97.283816205808122</v>
      </c>
      <c r="K1015" s="303"/>
      <c r="L1015" s="302">
        <v>59.84034451601083</v>
      </c>
      <c r="M1015" s="302">
        <v>32.283798895662045</v>
      </c>
      <c r="N1015" s="302">
        <v>5.0363986203866355</v>
      </c>
      <c r="O1015" s="302">
        <f t="shared" si="436"/>
        <v>97.16054203205951</v>
      </c>
    </row>
    <row r="1016" spans="1:15" s="236" customFormat="1" x14ac:dyDescent="0.3">
      <c r="A1016" s="237" t="str">
        <f>name!E$8</f>
        <v>Skilled trades occupations</v>
      </c>
      <c r="B1016" s="302">
        <v>19.323909542022506</v>
      </c>
      <c r="C1016" s="302">
        <v>7.1841658011896179</v>
      </c>
      <c r="D1016" s="302">
        <v>8.4984051293235137</v>
      </c>
      <c r="E1016" s="302">
        <f t="shared" si="434"/>
        <v>35.006480472535635</v>
      </c>
      <c r="F1016" s="303"/>
      <c r="G1016" s="302">
        <v>13.681740457100856</v>
      </c>
      <c r="H1016" s="302">
        <v>5.4299202957375892</v>
      </c>
      <c r="I1016" s="302">
        <v>6.6109372776256023</v>
      </c>
      <c r="J1016" s="302">
        <f>SUM(G1016:I1016)</f>
        <v>25.722598030464049</v>
      </c>
      <c r="K1016" s="303"/>
      <c r="L1016" s="302">
        <v>13.326965669117865</v>
      </c>
      <c r="M1016" s="302">
        <v>7.7872789607458452</v>
      </c>
      <c r="N1016" s="302">
        <v>7.3215163883443033</v>
      </c>
      <c r="O1016" s="302">
        <f t="shared" si="436"/>
        <v>28.435761018208012</v>
      </c>
    </row>
    <row r="1017" spans="1:15" s="236" customFormat="1" x14ac:dyDescent="0.3">
      <c r="A1017" s="237" t="str">
        <f>name!E$9</f>
        <v>Caring, leisure and other service occupations</v>
      </c>
      <c r="B1017" s="302">
        <v>28.352305685014237</v>
      </c>
      <c r="C1017" s="302">
        <v>22.447482487408369</v>
      </c>
      <c r="D1017" s="302">
        <v>7.2127025457873577</v>
      </c>
      <c r="E1017" s="302">
        <f t="shared" si="434"/>
        <v>58.012490718209968</v>
      </c>
      <c r="F1017" s="303"/>
      <c r="G1017" s="302">
        <v>25.07732843159911</v>
      </c>
      <c r="H1017" s="302">
        <v>25.27453779791632</v>
      </c>
      <c r="I1017" s="302">
        <v>8.1584773940750157</v>
      </c>
      <c r="J1017" s="302">
        <f t="shared" ref="J1017:J1020" si="437">SUM(G1017:I1017)</f>
        <v>58.510343623590444</v>
      </c>
      <c r="K1017" s="303"/>
      <c r="L1017" s="302">
        <v>30.854210235305249</v>
      </c>
      <c r="M1017" s="302">
        <v>30.682361055234594</v>
      </c>
      <c r="N1017" s="302">
        <v>10.175440025562605</v>
      </c>
      <c r="O1017" s="302">
        <f t="shared" si="436"/>
        <v>71.712011316102448</v>
      </c>
    </row>
    <row r="1018" spans="1:15" s="236" customFormat="1" x14ac:dyDescent="0.3">
      <c r="A1018" s="237" t="str">
        <f>name!E$10</f>
        <v>Sales and customer service occupations</v>
      </c>
      <c r="B1018" s="302">
        <v>40.238869495871107</v>
      </c>
      <c r="C1018" s="302">
        <v>18.267077720812804</v>
      </c>
      <c r="D1018" s="302">
        <v>3.2371202920487643</v>
      </c>
      <c r="E1018" s="302">
        <f t="shared" si="434"/>
        <v>61.743067508732672</v>
      </c>
      <c r="F1018" s="303"/>
      <c r="G1018" s="302">
        <v>35.702852840287981</v>
      </c>
      <c r="H1018" s="302">
        <v>19.447306002105719</v>
      </c>
      <c r="I1018" s="302">
        <v>2.3681409955337869</v>
      </c>
      <c r="J1018" s="302">
        <f t="shared" si="437"/>
        <v>57.518299837927486</v>
      </c>
      <c r="K1018" s="303"/>
      <c r="L1018" s="302">
        <v>46.942506512844723</v>
      </c>
      <c r="M1018" s="302">
        <v>28.315364486945835</v>
      </c>
      <c r="N1018" s="302">
        <v>2.1988625993593058</v>
      </c>
      <c r="O1018" s="302">
        <f t="shared" si="436"/>
        <v>77.456733599149857</v>
      </c>
    </row>
    <row r="1019" spans="1:15" s="236" customFormat="1" x14ac:dyDescent="0.3">
      <c r="A1019" s="237" t="str">
        <f>name!E$11</f>
        <v>Process, plant and machine operatives</v>
      </c>
      <c r="B1019" s="302">
        <v>20.664131639766158</v>
      </c>
      <c r="C1019" s="302">
        <v>13.045614068517091</v>
      </c>
      <c r="D1019" s="302">
        <v>1.2757629389271887</v>
      </c>
      <c r="E1019" s="302">
        <f t="shared" si="434"/>
        <v>34.985508647210438</v>
      </c>
      <c r="F1019" s="303"/>
      <c r="G1019" s="302">
        <v>15.304562046047176</v>
      </c>
      <c r="H1019" s="302">
        <v>14.577366256520509</v>
      </c>
      <c r="I1019" s="302">
        <v>1.2194292035473051</v>
      </c>
      <c r="J1019" s="302">
        <f t="shared" si="437"/>
        <v>31.101357506114994</v>
      </c>
      <c r="K1019" s="303"/>
      <c r="L1019" s="302">
        <v>15.524957524180955</v>
      </c>
      <c r="M1019" s="302">
        <v>17.552118092204957</v>
      </c>
      <c r="N1019" s="302">
        <v>1.5443040935676686</v>
      </c>
      <c r="O1019" s="302">
        <f t="shared" si="436"/>
        <v>34.62137970995358</v>
      </c>
    </row>
    <row r="1020" spans="1:15" s="236" customFormat="1" x14ac:dyDescent="0.3">
      <c r="A1020" s="237" t="str">
        <f>name!E$12</f>
        <v>Elementary occupations</v>
      </c>
      <c r="B1020" s="302">
        <v>137.42569740881174</v>
      </c>
      <c r="C1020" s="302">
        <v>128.26628889268861</v>
      </c>
      <c r="D1020" s="302">
        <v>29.847427304359123</v>
      </c>
      <c r="E1020" s="302">
        <f t="shared" si="434"/>
        <v>295.53941360585952</v>
      </c>
      <c r="F1020" s="303"/>
      <c r="G1020" s="302">
        <v>106.79537584599146</v>
      </c>
      <c r="H1020" s="302">
        <v>117.52287751231201</v>
      </c>
      <c r="I1020" s="302">
        <v>23.63006468027891</v>
      </c>
      <c r="J1020" s="302">
        <f t="shared" si="437"/>
        <v>247.94831803858239</v>
      </c>
      <c r="K1020" s="303"/>
      <c r="L1020" s="302">
        <v>123.4207957685023</v>
      </c>
      <c r="M1020" s="302">
        <v>105.80084909370342</v>
      </c>
      <c r="N1020" s="302">
        <v>30.975094777764657</v>
      </c>
      <c r="O1020" s="302">
        <f t="shared" si="436"/>
        <v>260.19673963997036</v>
      </c>
    </row>
    <row r="1021" spans="1:15" s="236" customFormat="1" x14ac:dyDescent="0.3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3">
      <c r="A1022" s="244" t="s">
        <v>32</v>
      </c>
      <c r="B1022" s="311">
        <f>SUM(B1012:B1020)</f>
        <v>545.5260000005967</v>
      </c>
      <c r="C1022" s="311">
        <f t="shared" ref="C1022:E1022" si="438">SUM(C1012:C1020)</f>
        <v>262.45900000366748</v>
      </c>
      <c r="D1022" s="311">
        <f t="shared" si="438"/>
        <v>108.88400000191365</v>
      </c>
      <c r="E1022" s="311">
        <f t="shared" si="438"/>
        <v>916.869000006178</v>
      </c>
      <c r="F1022" s="311"/>
      <c r="G1022" s="311">
        <f t="shared" ref="G1022:J1022" si="439">SUM(G1012:G1020)</f>
        <v>496.72999999985063</v>
      </c>
      <c r="H1022" s="311">
        <f t="shared" si="439"/>
        <v>280.63100000071347</v>
      </c>
      <c r="I1022" s="311">
        <f t="shared" si="439"/>
        <v>97.185999999544094</v>
      </c>
      <c r="J1022" s="311">
        <f t="shared" si="439"/>
        <v>874.54700000010803</v>
      </c>
      <c r="K1022" s="311"/>
      <c r="L1022" s="311">
        <f t="shared" ref="L1022:O1022" si="440">SUM(L1012:L1020)</f>
        <v>573.09799999857114</v>
      </c>
      <c r="M1022" s="311">
        <f t="shared" si="440"/>
        <v>310.1930000003905</v>
      </c>
      <c r="N1022" s="311">
        <f t="shared" si="440"/>
        <v>110.32100000139319</v>
      </c>
      <c r="O1022" s="311">
        <f t="shared" si="440"/>
        <v>993.61200000035478</v>
      </c>
    </row>
    <row r="1023" spans="1:15" s="236" customFormat="1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3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3">
      <c r="A1026" s="241" t="str">
        <f>name!A63</f>
        <v>Travel, etc</v>
      </c>
      <c r="B1026" s="375">
        <f>$B$6</f>
        <v>2015</v>
      </c>
      <c r="C1026" s="375"/>
      <c r="D1026" s="375"/>
      <c r="E1026" s="375"/>
      <c r="F1026" s="263"/>
      <c r="G1026" s="375">
        <f>$G$6</f>
        <v>2020</v>
      </c>
      <c r="H1026" s="375"/>
      <c r="I1026" s="375"/>
      <c r="J1026" s="375"/>
      <c r="K1026" s="263"/>
      <c r="L1026" s="375">
        <f>$L$6</f>
        <v>2035</v>
      </c>
      <c r="M1026" s="375"/>
      <c r="N1026" s="375"/>
      <c r="O1026" s="375"/>
    </row>
    <row r="1027" spans="1:15" s="236" customFormat="1" x14ac:dyDescent="0.3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3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3">
      <c r="A1029" s="237" t="str">
        <f>name!E$4</f>
        <v>Managers, directors and senior officials</v>
      </c>
      <c r="B1029" s="302">
        <v>6.2566247667135446</v>
      </c>
      <c r="C1029" s="302">
        <v>0.81194206032696326</v>
      </c>
      <c r="D1029" s="302">
        <v>1.787896441540765</v>
      </c>
      <c r="E1029" s="302">
        <f>SUM(B1029:D1029)</f>
        <v>8.8564632685812725</v>
      </c>
      <c r="F1029" s="303"/>
      <c r="G1029" s="302">
        <v>7.2625702299490476</v>
      </c>
      <c r="H1029" s="302">
        <v>1.3305864316067486</v>
      </c>
      <c r="I1029" s="302">
        <v>2.0053916253818111</v>
      </c>
      <c r="J1029" s="302">
        <f>SUM(G1029:I1029)</f>
        <v>10.598548286937607</v>
      </c>
      <c r="K1029" s="303"/>
      <c r="L1029" s="302">
        <v>8.5651305251809013</v>
      </c>
      <c r="M1029" s="302">
        <v>1.668178132839454</v>
      </c>
      <c r="N1029" s="302">
        <v>2.3784089326046516</v>
      </c>
      <c r="O1029" s="302">
        <f>SUM(L1029:N1029)</f>
        <v>12.611717590625007</v>
      </c>
    </row>
    <row r="1030" spans="1:15" s="236" customFormat="1" x14ac:dyDescent="0.3">
      <c r="A1030" s="237" t="str">
        <f>name!E$5</f>
        <v>Professional occupations</v>
      </c>
      <c r="B1030" s="302">
        <v>4.4937072676990901</v>
      </c>
      <c r="C1030" s="302">
        <v>0.52047460582790073</v>
      </c>
      <c r="D1030" s="302">
        <v>0.47732229646004348</v>
      </c>
      <c r="E1030" s="302">
        <f t="shared" ref="E1030:E1037" si="441">SUM(B1030:D1030)</f>
        <v>5.4915041699870342</v>
      </c>
      <c r="F1030" s="303"/>
      <c r="G1030" s="302">
        <v>5.8242307666435229</v>
      </c>
      <c r="H1030" s="302">
        <v>0.8921159248583157</v>
      </c>
      <c r="I1030" s="302">
        <v>0.49809739714616968</v>
      </c>
      <c r="J1030" s="302">
        <f t="shared" ref="J1030:J1032" si="442">SUM(G1030:I1030)</f>
        <v>7.2144440886480083</v>
      </c>
      <c r="K1030" s="303"/>
      <c r="L1030" s="302">
        <v>8.5484563570216174</v>
      </c>
      <c r="M1030" s="302">
        <v>1.2130148466535484</v>
      </c>
      <c r="N1030" s="302">
        <v>0.41307891356656701</v>
      </c>
      <c r="O1030" s="302">
        <f t="shared" ref="O1030:O1037" si="443">SUM(L1030:N1030)</f>
        <v>10.174550117241733</v>
      </c>
    </row>
    <row r="1031" spans="1:15" s="236" customFormat="1" x14ac:dyDescent="0.3">
      <c r="A1031" s="237" t="str">
        <f>name!E$6</f>
        <v>Associate professional occupations</v>
      </c>
      <c r="B1031" s="302">
        <v>3.9257460247822866</v>
      </c>
      <c r="C1031" s="302">
        <v>0.73272728577619706</v>
      </c>
      <c r="D1031" s="302">
        <v>0.58503075380676839</v>
      </c>
      <c r="E1031" s="302">
        <f t="shared" si="441"/>
        <v>5.2435040643652524</v>
      </c>
      <c r="F1031" s="303"/>
      <c r="G1031" s="302">
        <v>4.5882791297972396</v>
      </c>
      <c r="H1031" s="302">
        <v>1.00883237740951</v>
      </c>
      <c r="I1031" s="302">
        <v>0.53135142411673497</v>
      </c>
      <c r="J1031" s="302">
        <f t="shared" si="442"/>
        <v>6.1284629313234849</v>
      </c>
      <c r="K1031" s="303"/>
      <c r="L1031" s="302">
        <v>5.2738914478760801</v>
      </c>
      <c r="M1031" s="302">
        <v>1.1071056772120902</v>
      </c>
      <c r="N1031" s="302">
        <v>0.52853837840251305</v>
      </c>
      <c r="O1031" s="302">
        <f t="shared" si="443"/>
        <v>6.9095355034906829</v>
      </c>
    </row>
    <row r="1032" spans="1:15" s="236" customFormat="1" x14ac:dyDescent="0.3">
      <c r="A1032" s="237" t="str">
        <f>name!E$7</f>
        <v>Administrative and secretarial occupations</v>
      </c>
      <c r="B1032" s="302">
        <v>6.8363122977507915</v>
      </c>
      <c r="C1032" s="302">
        <v>2.62258571976002</v>
      </c>
      <c r="D1032" s="302">
        <v>0.58610527203806162</v>
      </c>
      <c r="E1032" s="302">
        <f t="shared" si="441"/>
        <v>10.045003289548873</v>
      </c>
      <c r="F1032" s="303"/>
      <c r="G1032" s="302">
        <v>7.2938440426584839</v>
      </c>
      <c r="H1032" s="302">
        <v>3.0651390909350771</v>
      </c>
      <c r="I1032" s="302">
        <v>0.56000642640256815</v>
      </c>
      <c r="J1032" s="302">
        <f t="shared" si="442"/>
        <v>10.918989559996129</v>
      </c>
      <c r="K1032" s="303"/>
      <c r="L1032" s="302">
        <v>7.9507925098797134</v>
      </c>
      <c r="M1032" s="302">
        <v>2.7049539886645793</v>
      </c>
      <c r="N1032" s="302">
        <v>0.65197845231521045</v>
      </c>
      <c r="O1032" s="302">
        <f t="shared" si="443"/>
        <v>11.307724950859503</v>
      </c>
    </row>
    <row r="1033" spans="1:15" s="236" customFormat="1" x14ac:dyDescent="0.3">
      <c r="A1033" s="237" t="str">
        <f>name!E$8</f>
        <v>Skilled trades occupations</v>
      </c>
      <c r="B1033" s="302">
        <v>1.3517002111532328</v>
      </c>
      <c r="C1033" s="302">
        <v>0.66490999141638685</v>
      </c>
      <c r="D1033" s="302">
        <v>0.31717768935116714</v>
      </c>
      <c r="E1033" s="302">
        <f t="shared" si="441"/>
        <v>2.3337878919207871</v>
      </c>
      <c r="F1033" s="303"/>
      <c r="G1033" s="302">
        <v>1.11082484021093</v>
      </c>
      <c r="H1033" s="302">
        <v>0.47936951337657946</v>
      </c>
      <c r="I1033" s="302">
        <v>0.30066487460368618</v>
      </c>
      <c r="J1033" s="302">
        <f>SUM(G1033:I1033)</f>
        <v>1.8908592281911956</v>
      </c>
      <c r="K1033" s="303"/>
      <c r="L1033" s="302">
        <v>1.287161190344154</v>
      </c>
      <c r="M1033" s="302">
        <v>0.70804450881638925</v>
      </c>
      <c r="N1033" s="302">
        <v>0.54001816891139731</v>
      </c>
      <c r="O1033" s="302">
        <f t="shared" si="443"/>
        <v>2.5352238680719403</v>
      </c>
    </row>
    <row r="1034" spans="1:15" s="236" customFormat="1" x14ac:dyDescent="0.3">
      <c r="A1034" s="237" t="str">
        <f>name!E$9</f>
        <v>Caring, leisure and other service occupations</v>
      </c>
      <c r="B1034" s="302">
        <v>5.1464795496327964</v>
      </c>
      <c r="C1034" s="302">
        <v>4.5009076094103566</v>
      </c>
      <c r="D1034" s="302">
        <v>5.1176161546122572</v>
      </c>
      <c r="E1034" s="302">
        <f t="shared" si="441"/>
        <v>14.765003313655409</v>
      </c>
      <c r="F1034" s="303"/>
      <c r="G1034" s="302">
        <v>4.9044277691156344</v>
      </c>
      <c r="H1034" s="302">
        <v>4.3265480066360631</v>
      </c>
      <c r="I1034" s="302">
        <v>5.2032620565537036</v>
      </c>
      <c r="J1034" s="302">
        <f t="shared" ref="J1034:J1037" si="444">SUM(G1034:I1034)</f>
        <v>14.434237832305403</v>
      </c>
      <c r="K1034" s="303"/>
      <c r="L1034" s="302">
        <v>5.3711889149876679</v>
      </c>
      <c r="M1034" s="302">
        <v>4.693278238703912</v>
      </c>
      <c r="N1034" s="302">
        <v>5.7845758286449227</v>
      </c>
      <c r="O1034" s="302">
        <f t="shared" si="443"/>
        <v>15.849042982336503</v>
      </c>
    </row>
    <row r="1035" spans="1:15" s="236" customFormat="1" x14ac:dyDescent="0.3">
      <c r="A1035" s="237" t="str">
        <f>name!E$10</f>
        <v>Sales and customer service occupations</v>
      </c>
      <c r="B1035" s="302">
        <v>3.0588065880750737</v>
      </c>
      <c r="C1035" s="302">
        <v>1.3962769375124708</v>
      </c>
      <c r="D1035" s="302">
        <v>0.57107964334325056</v>
      </c>
      <c r="E1035" s="302">
        <f t="shared" si="441"/>
        <v>5.0261631689307951</v>
      </c>
      <c r="F1035" s="303"/>
      <c r="G1035" s="302">
        <v>3.0043042122255152</v>
      </c>
      <c r="H1035" s="302">
        <v>1.4597963426845038</v>
      </c>
      <c r="I1035" s="302">
        <v>0.41894469394245504</v>
      </c>
      <c r="J1035" s="302">
        <f t="shared" si="444"/>
        <v>4.8830452488524738</v>
      </c>
      <c r="K1035" s="303"/>
      <c r="L1035" s="302">
        <v>3.8021267409460724</v>
      </c>
      <c r="M1035" s="302">
        <v>2.0182331394156017</v>
      </c>
      <c r="N1035" s="302">
        <v>0.48425373891034573</v>
      </c>
      <c r="O1035" s="302">
        <f t="shared" si="443"/>
        <v>6.3046136192720201</v>
      </c>
    </row>
    <row r="1036" spans="1:15" s="236" customFormat="1" x14ac:dyDescent="0.3">
      <c r="A1036" s="237" t="str">
        <f>name!E$11</f>
        <v>Process, plant and machine operatives</v>
      </c>
      <c r="B1036" s="302">
        <v>12.653381188088543</v>
      </c>
      <c r="C1036" s="302">
        <v>3.2210298144939724</v>
      </c>
      <c r="D1036" s="302">
        <v>0.5073637666079287</v>
      </c>
      <c r="E1036" s="302">
        <f t="shared" si="441"/>
        <v>16.381774769190443</v>
      </c>
      <c r="F1036" s="303"/>
      <c r="G1036" s="302">
        <v>11.11026245179068</v>
      </c>
      <c r="H1036" s="302">
        <v>3.658422307935417</v>
      </c>
      <c r="I1036" s="302">
        <v>0.56601803922321758</v>
      </c>
      <c r="J1036" s="302">
        <f t="shared" si="444"/>
        <v>15.334702798949316</v>
      </c>
      <c r="K1036" s="303"/>
      <c r="L1036" s="302">
        <v>13.142548629602828</v>
      </c>
      <c r="M1036" s="302">
        <v>4.7016178529792647</v>
      </c>
      <c r="N1036" s="302">
        <v>0.66233171533766189</v>
      </c>
      <c r="O1036" s="302">
        <f t="shared" si="443"/>
        <v>18.506498197919754</v>
      </c>
    </row>
    <row r="1037" spans="1:15" s="236" customFormat="1" x14ac:dyDescent="0.3">
      <c r="A1037" s="237" t="str">
        <f>name!E$12</f>
        <v>Elementary occupations</v>
      </c>
      <c r="B1037" s="302">
        <v>12.488242106448048</v>
      </c>
      <c r="C1037" s="302">
        <v>4.1581459757730626</v>
      </c>
      <c r="D1037" s="302">
        <v>0.35540798243949051</v>
      </c>
      <c r="E1037" s="302">
        <f t="shared" si="441"/>
        <v>17.001796064660603</v>
      </c>
      <c r="F1037" s="303"/>
      <c r="G1037" s="302">
        <v>9.7422565572760469</v>
      </c>
      <c r="H1037" s="302">
        <v>3.9361900046170666</v>
      </c>
      <c r="I1037" s="302">
        <v>0.23926346248078231</v>
      </c>
      <c r="J1037" s="302">
        <f t="shared" si="444"/>
        <v>13.917710024373896</v>
      </c>
      <c r="K1037" s="303"/>
      <c r="L1037" s="302">
        <v>8.614703683844839</v>
      </c>
      <c r="M1037" s="302">
        <v>3.5725736147539484</v>
      </c>
      <c r="N1037" s="302">
        <v>0.24581587136590721</v>
      </c>
      <c r="O1037" s="302">
        <f t="shared" si="443"/>
        <v>12.433093169964694</v>
      </c>
    </row>
    <row r="1038" spans="1:15" s="236" customFormat="1" x14ac:dyDescent="0.3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3">
      <c r="A1039" s="244" t="s">
        <v>32</v>
      </c>
      <c r="B1039" s="311">
        <f>SUM(B1029:B1037)</f>
        <v>56.211000000343411</v>
      </c>
      <c r="C1039" s="311">
        <f t="shared" ref="C1039:E1039" si="445">SUM(C1029:C1037)</f>
        <v>18.629000000297331</v>
      </c>
      <c r="D1039" s="311">
        <f t="shared" si="445"/>
        <v>10.305000000199733</v>
      </c>
      <c r="E1039" s="311">
        <f t="shared" si="445"/>
        <v>85.145000000840469</v>
      </c>
      <c r="F1039" s="311"/>
      <c r="G1039" s="311">
        <f t="shared" ref="G1039:J1039" si="446">SUM(G1029:G1037)</f>
        <v>54.840999999667105</v>
      </c>
      <c r="H1039" s="311">
        <f t="shared" si="446"/>
        <v>20.157000000059281</v>
      </c>
      <c r="I1039" s="311">
        <f t="shared" si="446"/>
        <v>10.322999999851129</v>
      </c>
      <c r="J1039" s="311">
        <f t="shared" si="446"/>
        <v>85.320999999577509</v>
      </c>
      <c r="K1039" s="311"/>
      <c r="L1039" s="311">
        <f t="shared" ref="L1039:O1039" si="447">SUM(L1029:L1037)</f>
        <v>62.55599999968387</v>
      </c>
      <c r="M1039" s="311">
        <f t="shared" si="447"/>
        <v>22.387000000038789</v>
      </c>
      <c r="N1039" s="311">
        <f t="shared" si="447"/>
        <v>11.689000000059176</v>
      </c>
      <c r="O1039" s="311">
        <f t="shared" si="447"/>
        <v>96.63199999978184</v>
      </c>
    </row>
    <row r="1040" spans="1:15" s="236" customFormat="1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3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3">
      <c r="A1043" s="241" t="str">
        <f>name!A64</f>
        <v>Security, etc</v>
      </c>
      <c r="B1043" s="375">
        <f>$B$6</f>
        <v>2015</v>
      </c>
      <c r="C1043" s="375"/>
      <c r="D1043" s="375"/>
      <c r="E1043" s="375"/>
      <c r="F1043" s="263"/>
      <c r="G1043" s="375">
        <f>$G$6</f>
        <v>2020</v>
      </c>
      <c r="H1043" s="375"/>
      <c r="I1043" s="375"/>
      <c r="J1043" s="375"/>
      <c r="K1043" s="263"/>
      <c r="L1043" s="375">
        <f>$L$6</f>
        <v>2035</v>
      </c>
      <c r="M1043" s="375"/>
      <c r="N1043" s="375"/>
      <c r="O1043" s="375"/>
    </row>
    <row r="1044" spans="1:15" s="236" customFormat="1" x14ac:dyDescent="0.3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3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3">
      <c r="A1046" s="237" t="str">
        <f>name!E$4</f>
        <v>Managers, directors and senior officials</v>
      </c>
      <c r="B1046" s="302">
        <v>13.488455524160621</v>
      </c>
      <c r="C1046" s="302">
        <v>1.7651163124418734</v>
      </c>
      <c r="D1046" s="302">
        <v>2.8251257798442655</v>
      </c>
      <c r="E1046" s="302">
        <f>SUM(B1046:D1046)</f>
        <v>18.07869761644676</v>
      </c>
      <c r="F1046" s="303"/>
      <c r="G1046" s="302">
        <v>15.048979598661372</v>
      </c>
      <c r="H1046" s="302">
        <v>2.3138398163071408</v>
      </c>
      <c r="I1046" s="302">
        <v>3.0875519686534147</v>
      </c>
      <c r="J1046" s="302">
        <f>SUM(G1046:I1046)</f>
        <v>20.450371383621928</v>
      </c>
      <c r="K1046" s="303"/>
      <c r="L1046" s="302">
        <v>17.376471140914109</v>
      </c>
      <c r="M1046" s="302">
        <v>2.7851873379076015</v>
      </c>
      <c r="N1046" s="302">
        <v>4.0190114527288623</v>
      </c>
      <c r="O1046" s="302">
        <f>SUM(L1046:N1046)</f>
        <v>24.180669931550572</v>
      </c>
    </row>
    <row r="1047" spans="1:15" s="236" customFormat="1" x14ac:dyDescent="0.3">
      <c r="A1047" s="237" t="str">
        <f>name!E$5</f>
        <v>Professional occupations</v>
      </c>
      <c r="B1047" s="302">
        <v>16.806741680740185</v>
      </c>
      <c r="C1047" s="302">
        <v>1.9318535487640722</v>
      </c>
      <c r="D1047" s="302">
        <v>2.1798089992563594</v>
      </c>
      <c r="E1047" s="302">
        <f t="shared" ref="E1047:E1054" si="448">SUM(B1047:D1047)</f>
        <v>20.918404228760615</v>
      </c>
      <c r="F1047" s="303"/>
      <c r="G1047" s="302">
        <v>21.140811129053596</v>
      </c>
      <c r="H1047" s="302">
        <v>2.8050909368756312</v>
      </c>
      <c r="I1047" s="302">
        <v>2.1875627968678608</v>
      </c>
      <c r="J1047" s="302">
        <f t="shared" ref="J1047:J1049" si="449">SUM(G1047:I1047)</f>
        <v>26.133464862797087</v>
      </c>
      <c r="K1047" s="303"/>
      <c r="L1047" s="302">
        <v>27.850984789103901</v>
      </c>
      <c r="M1047" s="302">
        <v>4.2926554624606537</v>
      </c>
      <c r="N1047" s="302">
        <v>1.9088445265004479</v>
      </c>
      <c r="O1047" s="302">
        <f t="shared" ref="O1047:O1054" si="450">SUM(L1047:N1047)</f>
        <v>34.052484778065001</v>
      </c>
    </row>
    <row r="1048" spans="1:15" s="236" customFormat="1" x14ac:dyDescent="0.3">
      <c r="A1048" s="237" t="str">
        <f>name!E$6</f>
        <v>Associate professional occupations</v>
      </c>
      <c r="B1048" s="302">
        <v>22.604057362131293</v>
      </c>
      <c r="C1048" s="302">
        <v>2.7186126880576165</v>
      </c>
      <c r="D1048" s="302">
        <v>5.0348176192499938</v>
      </c>
      <c r="E1048" s="302">
        <f t="shared" si="448"/>
        <v>30.357487669438903</v>
      </c>
      <c r="F1048" s="303"/>
      <c r="G1048" s="302">
        <v>25.525078865742341</v>
      </c>
      <c r="H1048" s="302">
        <v>3.1195843057223929</v>
      </c>
      <c r="I1048" s="302">
        <v>5.1943772986852403</v>
      </c>
      <c r="J1048" s="302">
        <f t="shared" si="449"/>
        <v>33.839040470149975</v>
      </c>
      <c r="K1048" s="303"/>
      <c r="L1048" s="302">
        <v>26.451808669271365</v>
      </c>
      <c r="M1048" s="302">
        <v>3.7052754270271024</v>
      </c>
      <c r="N1048" s="302">
        <v>5.1899690593502168</v>
      </c>
      <c r="O1048" s="302">
        <f t="shared" si="450"/>
        <v>35.347053155648688</v>
      </c>
    </row>
    <row r="1049" spans="1:15" s="236" customFormat="1" x14ac:dyDescent="0.3">
      <c r="A1049" s="237" t="str">
        <f>name!E$7</f>
        <v>Administrative and secretarial occupations</v>
      </c>
      <c r="B1049" s="302">
        <v>12.096848312145616</v>
      </c>
      <c r="C1049" s="302">
        <v>3.8010203614458398</v>
      </c>
      <c r="D1049" s="302">
        <v>0.75661219641808597</v>
      </c>
      <c r="E1049" s="302">
        <f t="shared" si="448"/>
        <v>16.654480870009543</v>
      </c>
      <c r="F1049" s="303"/>
      <c r="G1049" s="302">
        <v>13.902861297565417</v>
      </c>
      <c r="H1049" s="302">
        <v>4.318336138418907</v>
      </c>
      <c r="I1049" s="302">
        <v>0.77261325412736992</v>
      </c>
      <c r="J1049" s="302">
        <f t="shared" si="449"/>
        <v>18.993810690111694</v>
      </c>
      <c r="K1049" s="303"/>
      <c r="L1049" s="302">
        <v>14.381946258511432</v>
      </c>
      <c r="M1049" s="302">
        <v>4.5194204506397764</v>
      </c>
      <c r="N1049" s="302">
        <v>0.98678104778323528</v>
      </c>
      <c r="O1049" s="302">
        <f t="shared" si="450"/>
        <v>19.888147756934444</v>
      </c>
    </row>
    <row r="1050" spans="1:15" s="236" customFormat="1" x14ac:dyDescent="0.3">
      <c r="A1050" s="237" t="str">
        <f>name!E$8</f>
        <v>Skilled trades occupations</v>
      </c>
      <c r="B1050" s="302">
        <v>3.8388429717774115</v>
      </c>
      <c r="C1050" s="302">
        <v>0.93338768643648318</v>
      </c>
      <c r="D1050" s="302">
        <v>2.0333612075172165</v>
      </c>
      <c r="E1050" s="302">
        <f t="shared" si="448"/>
        <v>6.8055918657311114</v>
      </c>
      <c r="F1050" s="303"/>
      <c r="G1050" s="302">
        <v>3.188355415749772</v>
      </c>
      <c r="H1050" s="302">
        <v>0.62083957328100547</v>
      </c>
      <c r="I1050" s="302">
        <v>1.6506254978199726</v>
      </c>
      <c r="J1050" s="302">
        <f>SUM(G1050:I1050)</f>
        <v>5.4598204868507505</v>
      </c>
      <c r="K1050" s="303"/>
      <c r="L1050" s="302">
        <v>2.959177925352793</v>
      </c>
      <c r="M1050" s="302">
        <v>0.86827664397015158</v>
      </c>
      <c r="N1050" s="302">
        <v>1.4281511025267231</v>
      </c>
      <c r="O1050" s="302">
        <f t="shared" si="450"/>
        <v>5.2556056718496675</v>
      </c>
    </row>
    <row r="1051" spans="1:15" s="236" customFormat="1" x14ac:dyDescent="0.3">
      <c r="A1051" s="237" t="str">
        <f>name!E$9</f>
        <v>Caring, leisure and other service occupations</v>
      </c>
      <c r="B1051" s="302">
        <v>4.5151056754924186</v>
      </c>
      <c r="C1051" s="302">
        <v>3.0695897139128467</v>
      </c>
      <c r="D1051" s="302">
        <v>1.117903849715393</v>
      </c>
      <c r="E1051" s="302">
        <f t="shared" si="448"/>
        <v>8.7025992391206586</v>
      </c>
      <c r="F1051" s="303"/>
      <c r="G1051" s="302">
        <v>5.0270510120790775</v>
      </c>
      <c r="H1051" s="302">
        <v>3.3309690907945169</v>
      </c>
      <c r="I1051" s="302">
        <v>1.4474664448071972</v>
      </c>
      <c r="J1051" s="302">
        <f t="shared" ref="J1051:J1054" si="451">SUM(G1051:I1051)</f>
        <v>9.8054865476807915</v>
      </c>
      <c r="K1051" s="303"/>
      <c r="L1051" s="302">
        <v>6.137769013917171</v>
      </c>
      <c r="M1051" s="302">
        <v>4.0327175527749795</v>
      </c>
      <c r="N1051" s="302">
        <v>1.9586513806279102</v>
      </c>
      <c r="O1051" s="302">
        <f t="shared" si="450"/>
        <v>12.129137947320061</v>
      </c>
    </row>
    <row r="1052" spans="1:15" s="236" customFormat="1" x14ac:dyDescent="0.3">
      <c r="A1052" s="237" t="str">
        <f>name!E$10</f>
        <v>Sales and customer service occupations</v>
      </c>
      <c r="B1052" s="302">
        <v>8.3878808144690478</v>
      </c>
      <c r="C1052" s="302">
        <v>2.6251570176831245</v>
      </c>
      <c r="D1052" s="302">
        <v>0.74088065850333595</v>
      </c>
      <c r="E1052" s="302">
        <f t="shared" si="448"/>
        <v>11.753918490655508</v>
      </c>
      <c r="F1052" s="303"/>
      <c r="G1052" s="302">
        <v>8.9913878726999741</v>
      </c>
      <c r="H1052" s="302">
        <v>2.8007074344829226</v>
      </c>
      <c r="I1052" s="302">
        <v>0.6807460424018148</v>
      </c>
      <c r="J1052" s="302">
        <f t="shared" si="451"/>
        <v>12.472841349584712</v>
      </c>
      <c r="K1052" s="303"/>
      <c r="L1052" s="302">
        <v>11.801191398004395</v>
      </c>
      <c r="M1052" s="302">
        <v>4.1612744632665137</v>
      </c>
      <c r="N1052" s="302">
        <v>0.67125997862227793</v>
      </c>
      <c r="O1052" s="302">
        <f t="shared" si="450"/>
        <v>16.633725839893188</v>
      </c>
    </row>
    <row r="1053" spans="1:15" s="236" customFormat="1" x14ac:dyDescent="0.3">
      <c r="A1053" s="237" t="str">
        <f>name!E$11</f>
        <v>Process, plant and machine operatives</v>
      </c>
      <c r="B1053" s="302">
        <v>4.2714669270213079</v>
      </c>
      <c r="C1053" s="302">
        <v>2.1329824783350029</v>
      </c>
      <c r="D1053" s="302">
        <v>0.3228138316617209</v>
      </c>
      <c r="E1053" s="302">
        <f t="shared" si="448"/>
        <v>6.7272632370180316</v>
      </c>
      <c r="F1053" s="303"/>
      <c r="G1053" s="302">
        <v>3.8488897546908318</v>
      </c>
      <c r="H1053" s="302">
        <v>2.2030833567463297</v>
      </c>
      <c r="I1053" s="302">
        <v>0.36020736221774907</v>
      </c>
      <c r="J1053" s="302">
        <f t="shared" si="451"/>
        <v>6.4121804736549111</v>
      </c>
      <c r="K1053" s="303"/>
      <c r="L1053" s="302">
        <v>3.8132730320102124</v>
      </c>
      <c r="M1053" s="302">
        <v>2.6370895615669161</v>
      </c>
      <c r="N1053" s="302">
        <v>0.40690184345368569</v>
      </c>
      <c r="O1053" s="302">
        <f t="shared" si="450"/>
        <v>6.8572644370308149</v>
      </c>
    </row>
    <row r="1054" spans="1:15" s="236" customFormat="1" x14ac:dyDescent="0.3">
      <c r="A1054" s="237" t="str">
        <f>name!E$12</f>
        <v>Elementary occupations</v>
      </c>
      <c r="B1054" s="302">
        <v>31.488600732474538</v>
      </c>
      <c r="C1054" s="302">
        <v>19.978280193545793</v>
      </c>
      <c r="D1054" s="302">
        <v>4.9516758581774001</v>
      </c>
      <c r="E1054" s="302">
        <f t="shared" si="448"/>
        <v>56.418556784197733</v>
      </c>
      <c r="F1054" s="303"/>
      <c r="G1054" s="302">
        <v>29.456585053738113</v>
      </c>
      <c r="H1054" s="302">
        <v>18.140549347513108</v>
      </c>
      <c r="I1054" s="302">
        <v>4.6138493345687497</v>
      </c>
      <c r="J1054" s="302">
        <f t="shared" si="451"/>
        <v>52.210983735819973</v>
      </c>
      <c r="K1054" s="303"/>
      <c r="L1054" s="302">
        <v>33.44237777260215</v>
      </c>
      <c r="M1054" s="302">
        <v>16.737103100470971</v>
      </c>
      <c r="N1054" s="302">
        <v>6.0254296088035977</v>
      </c>
      <c r="O1054" s="302">
        <f t="shared" si="450"/>
        <v>56.204910481876716</v>
      </c>
    </row>
    <row r="1055" spans="1:15" s="236" customFormat="1" x14ac:dyDescent="0.3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3">
      <c r="A1056" s="244" t="s">
        <v>32</v>
      </c>
      <c r="B1056" s="311">
        <f>SUM(B1046:B1054)</f>
        <v>117.49800000041243</v>
      </c>
      <c r="C1056" s="311">
        <f t="shared" ref="C1056:E1056" si="452">SUM(C1046:C1054)</f>
        <v>38.956000000622652</v>
      </c>
      <c r="D1056" s="311">
        <f t="shared" si="452"/>
        <v>19.963000000343772</v>
      </c>
      <c r="E1056" s="311">
        <f t="shared" si="452"/>
        <v>176.41700000137888</v>
      </c>
      <c r="F1056" s="311"/>
      <c r="G1056" s="311">
        <f t="shared" ref="G1056:J1056" si="453">SUM(G1046:G1054)</f>
        <v>126.1299999999805</v>
      </c>
      <c r="H1056" s="311">
        <f t="shared" si="453"/>
        <v>39.653000000141958</v>
      </c>
      <c r="I1056" s="311">
        <f t="shared" si="453"/>
        <v>19.995000000149368</v>
      </c>
      <c r="J1056" s="311">
        <f t="shared" si="453"/>
        <v>185.77800000027182</v>
      </c>
      <c r="K1056" s="311"/>
      <c r="L1056" s="311">
        <f t="shared" ref="L1056:O1056" si="454">SUM(L1046:L1054)</f>
        <v>144.21499999968754</v>
      </c>
      <c r="M1056" s="311">
        <f t="shared" si="454"/>
        <v>43.739000000084673</v>
      </c>
      <c r="N1056" s="311">
        <f t="shared" si="454"/>
        <v>22.595000000396958</v>
      </c>
      <c r="O1056" s="311">
        <f t="shared" si="454"/>
        <v>210.54900000016917</v>
      </c>
    </row>
    <row r="1057" spans="1:15" s="236" customFormat="1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3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3">
      <c r="A1060" s="241" t="str">
        <f>name!A65</f>
        <v>Services to buildings</v>
      </c>
      <c r="B1060" s="375">
        <f>$B$6</f>
        <v>2015</v>
      </c>
      <c r="C1060" s="375"/>
      <c r="D1060" s="375"/>
      <c r="E1060" s="375"/>
      <c r="F1060" s="263"/>
      <c r="G1060" s="375">
        <f>$G$6</f>
        <v>2020</v>
      </c>
      <c r="H1060" s="375"/>
      <c r="I1060" s="375"/>
      <c r="J1060" s="375"/>
      <c r="K1060" s="263"/>
      <c r="L1060" s="375">
        <f>$L$6</f>
        <v>2035</v>
      </c>
      <c r="M1060" s="375"/>
      <c r="N1060" s="375"/>
      <c r="O1060" s="375"/>
    </row>
    <row r="1061" spans="1:15" s="236" customFormat="1" x14ac:dyDescent="0.3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3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3">
      <c r="A1063" s="237" t="str">
        <f>name!E$4</f>
        <v>Managers, directors and senior officials</v>
      </c>
      <c r="B1063" s="302">
        <v>36.550591924485516</v>
      </c>
      <c r="C1063" s="302">
        <v>15.142917285253759</v>
      </c>
      <c r="D1063" s="302">
        <v>13.189294213992897</v>
      </c>
      <c r="E1063" s="302">
        <f>SUM(B1063:D1063)</f>
        <v>64.88280342373217</v>
      </c>
      <c r="F1063" s="303"/>
      <c r="G1063" s="302">
        <v>39.275170849905479</v>
      </c>
      <c r="H1063" s="302">
        <v>19.887373694661779</v>
      </c>
      <c r="I1063" s="302">
        <v>14.524351349887503</v>
      </c>
      <c r="J1063" s="302">
        <f>SUM(G1063:I1063)</f>
        <v>73.68689589445475</v>
      </c>
      <c r="K1063" s="303"/>
      <c r="L1063" s="302">
        <v>47.321851072348316</v>
      </c>
      <c r="M1063" s="302">
        <v>25.434934901632477</v>
      </c>
      <c r="N1063" s="302">
        <v>17.476940354617497</v>
      </c>
      <c r="O1063" s="302">
        <f>SUM(L1063:N1063)</f>
        <v>90.233726328598294</v>
      </c>
    </row>
    <row r="1064" spans="1:15" s="236" customFormat="1" x14ac:dyDescent="0.3">
      <c r="A1064" s="237" t="str">
        <f>name!E$5</f>
        <v>Professional occupations</v>
      </c>
      <c r="B1064" s="302">
        <v>48.840744900032718</v>
      </c>
      <c r="C1064" s="302">
        <v>26.040503722330399</v>
      </c>
      <c r="D1064" s="302">
        <v>7.4479578265303639</v>
      </c>
      <c r="E1064" s="302">
        <f t="shared" ref="E1064:E1071" si="455">SUM(B1064:D1064)</f>
        <v>82.329206448893487</v>
      </c>
      <c r="F1064" s="303"/>
      <c r="G1064" s="302">
        <v>59.453306875245907</v>
      </c>
      <c r="H1064" s="302">
        <v>32.368120273516745</v>
      </c>
      <c r="I1064" s="302">
        <v>7.524978944940254</v>
      </c>
      <c r="J1064" s="302">
        <f t="shared" ref="J1064:J1066" si="456">SUM(G1064:I1064)</f>
        <v>99.34640609370291</v>
      </c>
      <c r="K1064" s="303"/>
      <c r="L1064" s="302">
        <v>77.470721797291802</v>
      </c>
      <c r="M1064" s="302">
        <v>44.248608234128952</v>
      </c>
      <c r="N1064" s="302">
        <v>6.3470450772951077</v>
      </c>
      <c r="O1064" s="302">
        <f t="shared" ref="O1064:O1071" si="457">SUM(L1064:N1064)</f>
        <v>128.06637510871587</v>
      </c>
    </row>
    <row r="1065" spans="1:15" s="236" customFormat="1" x14ac:dyDescent="0.3">
      <c r="A1065" s="237" t="str">
        <f>name!E$6</f>
        <v>Associate professional occupations</v>
      </c>
      <c r="B1065" s="302">
        <v>52.895813351122328</v>
      </c>
      <c r="C1065" s="302">
        <v>30.884445456888166</v>
      </c>
      <c r="D1065" s="302">
        <v>15.088359786714635</v>
      </c>
      <c r="E1065" s="302">
        <f t="shared" si="455"/>
        <v>98.868618594725135</v>
      </c>
      <c r="F1065" s="303"/>
      <c r="G1065" s="302">
        <v>59.745940419004889</v>
      </c>
      <c r="H1065" s="302">
        <v>34.054047170424717</v>
      </c>
      <c r="I1065" s="302">
        <v>14.332140496462165</v>
      </c>
      <c r="J1065" s="302">
        <f t="shared" si="456"/>
        <v>108.13212808589176</v>
      </c>
      <c r="K1065" s="303"/>
      <c r="L1065" s="302">
        <v>64.209421989002905</v>
      </c>
      <c r="M1065" s="302">
        <v>42.262209038390644</v>
      </c>
      <c r="N1065" s="302">
        <v>14.018436260630587</v>
      </c>
      <c r="O1065" s="302">
        <f t="shared" si="457"/>
        <v>120.49006728802414</v>
      </c>
    </row>
    <row r="1066" spans="1:15" s="236" customFormat="1" x14ac:dyDescent="0.3">
      <c r="A1066" s="237" t="str">
        <f>name!E$7</f>
        <v>Administrative and secretarial occupations</v>
      </c>
      <c r="B1066" s="302">
        <v>46.741967655087358</v>
      </c>
      <c r="C1066" s="302">
        <v>60.553434048441034</v>
      </c>
      <c r="D1066" s="302">
        <v>4.9222867698870258</v>
      </c>
      <c r="E1066" s="302">
        <f t="shared" si="455"/>
        <v>112.21768847341542</v>
      </c>
      <c r="F1066" s="303"/>
      <c r="G1066" s="302">
        <v>46.019145919161303</v>
      </c>
      <c r="H1066" s="302">
        <v>57.982915781672069</v>
      </c>
      <c r="I1066" s="302">
        <v>4.7434097259420351</v>
      </c>
      <c r="J1066" s="302">
        <f t="shared" si="456"/>
        <v>108.7454714267754</v>
      </c>
      <c r="K1066" s="303"/>
      <c r="L1066" s="302">
        <v>41.195488627134296</v>
      </c>
      <c r="M1066" s="302">
        <v>63.039060754953113</v>
      </c>
      <c r="N1066" s="302">
        <v>5.4715307517514473</v>
      </c>
      <c r="O1066" s="302">
        <f t="shared" si="457"/>
        <v>109.70608013383885</v>
      </c>
    </row>
    <row r="1067" spans="1:15" s="236" customFormat="1" x14ac:dyDescent="0.3">
      <c r="A1067" s="237" t="str">
        <f>name!E$8</f>
        <v>Skilled trades occupations</v>
      </c>
      <c r="B1067" s="302">
        <v>8.6819458195607453</v>
      </c>
      <c r="C1067" s="302">
        <v>5.3078100932157524</v>
      </c>
      <c r="D1067" s="302">
        <v>7.3507066594836514</v>
      </c>
      <c r="E1067" s="302">
        <f t="shared" si="455"/>
        <v>21.340462572260151</v>
      </c>
      <c r="F1067" s="303"/>
      <c r="G1067" s="302">
        <v>7.0326772114411655</v>
      </c>
      <c r="H1067" s="302">
        <v>4.0677346542800068</v>
      </c>
      <c r="I1067" s="302">
        <v>6.3087196360108821</v>
      </c>
      <c r="J1067" s="302">
        <f>SUM(G1067:I1067)</f>
        <v>17.409131501732055</v>
      </c>
      <c r="K1067" s="303"/>
      <c r="L1067" s="302">
        <v>7.3409532277132428</v>
      </c>
      <c r="M1067" s="302">
        <v>6.7986560954782105</v>
      </c>
      <c r="N1067" s="302">
        <v>8.5788294662871252</v>
      </c>
      <c r="O1067" s="302">
        <f t="shared" si="457"/>
        <v>22.718438789478579</v>
      </c>
    </row>
    <row r="1068" spans="1:15" s="236" customFormat="1" x14ac:dyDescent="0.3">
      <c r="A1068" s="237" t="str">
        <f>name!E$9</f>
        <v>Caring, leisure and other service occupations</v>
      </c>
      <c r="B1068" s="302">
        <v>24.021675558825837</v>
      </c>
      <c r="C1068" s="302">
        <v>38.108286871220088</v>
      </c>
      <c r="D1068" s="302">
        <v>5.3363984521354162</v>
      </c>
      <c r="E1068" s="302">
        <f t="shared" si="455"/>
        <v>67.466360882181334</v>
      </c>
      <c r="F1068" s="303"/>
      <c r="G1068" s="302">
        <v>24.511984479178082</v>
      </c>
      <c r="H1068" s="302">
        <v>35.903485623433234</v>
      </c>
      <c r="I1068" s="302">
        <v>6.25752151871073</v>
      </c>
      <c r="J1068" s="302">
        <f t="shared" ref="J1068:J1071" si="458">SUM(G1068:I1068)</f>
        <v>66.672991621322041</v>
      </c>
      <c r="K1068" s="303"/>
      <c r="L1068" s="302">
        <v>32.203035633812739</v>
      </c>
      <c r="M1068" s="302">
        <v>41.228099260576336</v>
      </c>
      <c r="N1068" s="302">
        <v>7.1415560896392636</v>
      </c>
      <c r="O1068" s="302">
        <f t="shared" si="457"/>
        <v>80.572690984028341</v>
      </c>
    </row>
    <row r="1069" spans="1:15" s="236" customFormat="1" x14ac:dyDescent="0.3">
      <c r="A1069" s="237" t="str">
        <f>name!E$10</f>
        <v>Sales and customer service occupations</v>
      </c>
      <c r="B1069" s="302">
        <v>24.734935084560007</v>
      </c>
      <c r="C1069" s="302">
        <v>24.023983877435036</v>
      </c>
      <c r="D1069" s="302">
        <v>3.7881785735398061</v>
      </c>
      <c r="E1069" s="302">
        <f t="shared" si="455"/>
        <v>52.547097535534846</v>
      </c>
      <c r="F1069" s="303"/>
      <c r="G1069" s="302">
        <v>23.650692305610182</v>
      </c>
      <c r="H1069" s="302">
        <v>24.256079166888696</v>
      </c>
      <c r="I1069" s="302">
        <v>2.8973022294431328</v>
      </c>
      <c r="J1069" s="302">
        <f t="shared" si="458"/>
        <v>50.804073701942009</v>
      </c>
      <c r="K1069" s="303"/>
      <c r="L1069" s="302">
        <v>29.32034159858873</v>
      </c>
      <c r="M1069" s="302">
        <v>39.816668861180368</v>
      </c>
      <c r="N1069" s="302">
        <v>2.6430274760679611</v>
      </c>
      <c r="O1069" s="302">
        <f t="shared" si="457"/>
        <v>71.780037935837058</v>
      </c>
    </row>
    <row r="1070" spans="1:15" s="236" customFormat="1" x14ac:dyDescent="0.3">
      <c r="A1070" s="237" t="str">
        <f>name!E$11</f>
        <v>Process, plant and machine operatives</v>
      </c>
      <c r="B1070" s="302">
        <v>8.5819938028063767</v>
      </c>
      <c r="C1070" s="302">
        <v>7.1940520423320118</v>
      </c>
      <c r="D1070" s="302">
        <v>0.83190832847801288</v>
      </c>
      <c r="E1070" s="302">
        <f t="shared" si="455"/>
        <v>16.607954173616399</v>
      </c>
      <c r="F1070" s="303"/>
      <c r="G1070" s="302">
        <v>7.0273379614061833</v>
      </c>
      <c r="H1070" s="302">
        <v>6.6459398930815352</v>
      </c>
      <c r="I1070" s="302">
        <v>0.87373489753167299</v>
      </c>
      <c r="J1070" s="302">
        <f t="shared" si="458"/>
        <v>14.547012752019391</v>
      </c>
      <c r="K1070" s="303"/>
      <c r="L1070" s="302">
        <v>7.897862649362593</v>
      </c>
      <c r="M1070" s="302">
        <v>9.451064932229869</v>
      </c>
      <c r="N1070" s="302">
        <v>1.1593892509118224</v>
      </c>
      <c r="O1070" s="302">
        <f t="shared" si="457"/>
        <v>18.508316832504285</v>
      </c>
    </row>
    <row r="1071" spans="1:15" s="236" customFormat="1" x14ac:dyDescent="0.3">
      <c r="A1071" s="237" t="str">
        <f>name!E$12</f>
        <v>Elementary occupations</v>
      </c>
      <c r="B1071" s="302">
        <v>57.522331903702558</v>
      </c>
      <c r="C1071" s="302">
        <v>148.92456660762394</v>
      </c>
      <c r="D1071" s="302">
        <v>20.316909390399147</v>
      </c>
      <c r="E1071" s="302">
        <f t="shared" si="455"/>
        <v>226.76380790172567</v>
      </c>
      <c r="F1071" s="303"/>
      <c r="G1071" s="302">
        <v>50.153743978385627</v>
      </c>
      <c r="H1071" s="302">
        <v>120.83130374354354</v>
      </c>
      <c r="I1071" s="302">
        <v>16.743841200591671</v>
      </c>
      <c r="J1071" s="302">
        <f t="shared" si="458"/>
        <v>187.72888892252084</v>
      </c>
      <c r="K1071" s="303"/>
      <c r="L1071" s="302">
        <v>61.492323403281084</v>
      </c>
      <c r="M1071" s="302">
        <v>93.045697921441231</v>
      </c>
      <c r="N1071" s="302">
        <v>21.564245273387886</v>
      </c>
      <c r="O1071" s="302">
        <f t="shared" si="457"/>
        <v>176.10226659811019</v>
      </c>
    </row>
    <row r="1072" spans="1:15" s="236" customFormat="1" x14ac:dyDescent="0.3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3">
      <c r="A1073" s="244" t="s">
        <v>32</v>
      </c>
      <c r="B1073" s="311">
        <f>SUM(B1063:B1071)</f>
        <v>308.57200000018344</v>
      </c>
      <c r="C1073" s="311">
        <f t="shared" ref="C1073:E1073" si="459">SUM(C1063:C1071)</f>
        <v>356.18000000474018</v>
      </c>
      <c r="D1073" s="311">
        <f t="shared" si="459"/>
        <v>78.272000001160961</v>
      </c>
      <c r="E1073" s="311">
        <f t="shared" si="459"/>
        <v>743.02400000608463</v>
      </c>
      <c r="F1073" s="311"/>
      <c r="G1073" s="311">
        <f t="shared" ref="G1073:J1073" si="460">SUM(G1063:G1071)</f>
        <v>316.8699999993388</v>
      </c>
      <c r="H1073" s="311">
        <f t="shared" si="460"/>
        <v>335.99700000150233</v>
      </c>
      <c r="I1073" s="311">
        <f t="shared" si="460"/>
        <v>74.20599999952006</v>
      </c>
      <c r="J1073" s="311">
        <f t="shared" si="460"/>
        <v>727.07300000036116</v>
      </c>
      <c r="K1073" s="311"/>
      <c r="L1073" s="311">
        <f t="shared" ref="L1073:O1073" si="461">SUM(L1063:L1071)</f>
        <v>368.45199999853571</v>
      </c>
      <c r="M1073" s="311">
        <f t="shared" si="461"/>
        <v>365.32500000001119</v>
      </c>
      <c r="N1073" s="311">
        <f t="shared" si="461"/>
        <v>84.401000000588695</v>
      </c>
      <c r="O1073" s="311">
        <f t="shared" si="461"/>
        <v>818.17799999913564</v>
      </c>
    </row>
    <row r="1074" spans="1:15" s="236" customFormat="1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3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3">
      <c r="A1077" s="241" t="str">
        <f>name!A66</f>
        <v>Office administrative</v>
      </c>
      <c r="B1077" s="375">
        <f>$B$6</f>
        <v>2015</v>
      </c>
      <c r="C1077" s="375"/>
      <c r="D1077" s="375"/>
      <c r="E1077" s="375"/>
      <c r="F1077" s="263"/>
      <c r="G1077" s="375">
        <f>$G$6</f>
        <v>2020</v>
      </c>
      <c r="H1077" s="375"/>
      <c r="I1077" s="375"/>
      <c r="J1077" s="375"/>
      <c r="K1077" s="263"/>
      <c r="L1077" s="375">
        <f>$L$6</f>
        <v>2035</v>
      </c>
      <c r="M1077" s="375"/>
      <c r="N1077" s="375"/>
      <c r="O1077" s="375"/>
    </row>
    <row r="1078" spans="1:15" s="236" customFormat="1" x14ac:dyDescent="0.3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3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3">
      <c r="A1080" s="237" t="str">
        <f>name!E$4</f>
        <v>Managers, directors and senior officials</v>
      </c>
      <c r="B1080" s="302">
        <v>31.74115947032546</v>
      </c>
      <c r="C1080" s="302">
        <v>3.3783586594821555</v>
      </c>
      <c r="D1080" s="302">
        <v>5.6556747438937025</v>
      </c>
      <c r="E1080" s="302">
        <f>SUM(B1080:D1080)</f>
        <v>40.775192873701322</v>
      </c>
      <c r="F1080" s="303"/>
      <c r="G1080" s="302">
        <v>38.961522756037041</v>
      </c>
      <c r="H1080" s="302">
        <v>5.7089912211253635</v>
      </c>
      <c r="I1080" s="302">
        <v>6.3071330384344417</v>
      </c>
      <c r="J1080" s="302">
        <f>SUM(G1080:I1080)</f>
        <v>50.977647015596851</v>
      </c>
      <c r="K1080" s="303"/>
      <c r="L1080" s="302">
        <v>45.1773293903886</v>
      </c>
      <c r="M1080" s="302">
        <v>7.0149550474059286</v>
      </c>
      <c r="N1080" s="302">
        <v>7.5554701780524063</v>
      </c>
      <c r="O1080" s="302">
        <f>SUM(L1080:N1080)</f>
        <v>59.747754615846929</v>
      </c>
    </row>
    <row r="1081" spans="1:15" s="236" customFormat="1" x14ac:dyDescent="0.3">
      <c r="A1081" s="237" t="str">
        <f>name!E$5</f>
        <v>Professional occupations</v>
      </c>
      <c r="B1081" s="302">
        <v>38.590398493897268</v>
      </c>
      <c r="C1081" s="302">
        <v>3.9458215511318646</v>
      </c>
      <c r="D1081" s="302">
        <v>4.5784160988010534</v>
      </c>
      <c r="E1081" s="302">
        <f t="shared" ref="E1081:E1088" si="462">SUM(B1081:D1081)</f>
        <v>47.114636143830182</v>
      </c>
      <c r="F1081" s="303"/>
      <c r="G1081" s="302">
        <v>54.50775963894155</v>
      </c>
      <c r="H1081" s="302">
        <v>7.5666863376490658</v>
      </c>
      <c r="I1081" s="302">
        <v>4.8562555084508734</v>
      </c>
      <c r="J1081" s="302">
        <f t="shared" ref="J1081:J1083" si="463">SUM(G1081:I1081)</f>
        <v>66.930701485041496</v>
      </c>
      <c r="K1081" s="303"/>
      <c r="L1081" s="302">
        <v>71.673024981038068</v>
      </c>
      <c r="M1081" s="302">
        <v>11.451258528408353</v>
      </c>
      <c r="N1081" s="302">
        <v>4.316492466584462</v>
      </c>
      <c r="O1081" s="302">
        <f t="shared" ref="O1081:O1088" si="464">SUM(L1081:N1081)</f>
        <v>87.440775976030892</v>
      </c>
    </row>
    <row r="1082" spans="1:15" s="236" customFormat="1" x14ac:dyDescent="0.3">
      <c r="A1082" s="237" t="str">
        <f>name!E$6</f>
        <v>Associate professional occupations</v>
      </c>
      <c r="B1082" s="302">
        <v>51.933349701482818</v>
      </c>
      <c r="C1082" s="302">
        <v>5.4939135967045729</v>
      </c>
      <c r="D1082" s="302">
        <v>12.210083975626487</v>
      </c>
      <c r="E1082" s="302">
        <f t="shared" si="462"/>
        <v>69.637347273813873</v>
      </c>
      <c r="F1082" s="303"/>
      <c r="G1082" s="302">
        <v>65.700596136744068</v>
      </c>
      <c r="H1082" s="302">
        <v>8.1514178550178258</v>
      </c>
      <c r="I1082" s="302">
        <v>13.25689170792179</v>
      </c>
      <c r="J1082" s="302">
        <f t="shared" si="463"/>
        <v>87.108905699683689</v>
      </c>
      <c r="K1082" s="303"/>
      <c r="L1082" s="302">
        <v>68.043051966042711</v>
      </c>
      <c r="M1082" s="302">
        <v>9.8277849853172725</v>
      </c>
      <c r="N1082" s="302">
        <v>13.576081869606471</v>
      </c>
      <c r="O1082" s="302">
        <f t="shared" si="464"/>
        <v>91.446918820966459</v>
      </c>
    </row>
    <row r="1083" spans="1:15" s="236" customFormat="1" x14ac:dyDescent="0.3">
      <c r="A1083" s="237" t="str">
        <f>name!E$7</f>
        <v>Administrative and secretarial occupations</v>
      </c>
      <c r="B1083" s="302">
        <v>32.540138667868831</v>
      </c>
      <c r="C1083" s="302">
        <v>9.1512783536805262</v>
      </c>
      <c r="D1083" s="302">
        <v>2.6742404398628876</v>
      </c>
      <c r="E1083" s="302">
        <f t="shared" si="462"/>
        <v>44.365657461412241</v>
      </c>
      <c r="F1083" s="303"/>
      <c r="G1083" s="302">
        <v>36.319771350310219</v>
      </c>
      <c r="H1083" s="302">
        <v>10.753691625733747</v>
      </c>
      <c r="I1083" s="302">
        <v>2.7695520450604141</v>
      </c>
      <c r="J1083" s="302">
        <f t="shared" si="463"/>
        <v>49.843015021104385</v>
      </c>
      <c r="K1083" s="303"/>
      <c r="L1083" s="302">
        <v>37.599615698705151</v>
      </c>
      <c r="M1083" s="302">
        <v>11.28876694949904</v>
      </c>
      <c r="N1083" s="302">
        <v>3.1116694544521439</v>
      </c>
      <c r="O1083" s="302">
        <f t="shared" si="464"/>
        <v>52.000052102656333</v>
      </c>
    </row>
    <row r="1084" spans="1:15" s="236" customFormat="1" x14ac:dyDescent="0.3">
      <c r="A1084" s="237" t="str">
        <f>name!E$8</f>
        <v>Skilled trades occupations</v>
      </c>
      <c r="B1084" s="302">
        <v>10.062832777305404</v>
      </c>
      <c r="C1084" s="302">
        <v>1.8282263613220597</v>
      </c>
      <c r="D1084" s="302">
        <v>3.7689878955120495</v>
      </c>
      <c r="E1084" s="302">
        <f t="shared" si="462"/>
        <v>15.660047034139513</v>
      </c>
      <c r="F1084" s="303"/>
      <c r="G1084" s="302">
        <v>8.2808039273325704</v>
      </c>
      <c r="H1084" s="302">
        <v>1.4079488287483801</v>
      </c>
      <c r="I1084" s="302">
        <v>3.0338605861102397</v>
      </c>
      <c r="J1084" s="302">
        <f>SUM(G1084:I1084)</f>
        <v>12.72261334219119</v>
      </c>
      <c r="K1084" s="303"/>
      <c r="L1084" s="302">
        <v>7.7429818832582127</v>
      </c>
      <c r="M1084" s="302">
        <v>2.0308113708748632</v>
      </c>
      <c r="N1084" s="302">
        <v>2.9758368642999304</v>
      </c>
      <c r="O1084" s="302">
        <f t="shared" si="464"/>
        <v>12.749630118433005</v>
      </c>
    </row>
    <row r="1085" spans="1:15" s="236" customFormat="1" x14ac:dyDescent="0.3">
      <c r="A1085" s="237" t="str">
        <f>name!E$9</f>
        <v>Caring, leisure and other service occupations</v>
      </c>
      <c r="B1085" s="302">
        <v>12.386126313249914</v>
      </c>
      <c r="C1085" s="302">
        <v>6.9260913410072185</v>
      </c>
      <c r="D1085" s="302">
        <v>4.1404715252173805</v>
      </c>
      <c r="E1085" s="302">
        <f t="shared" si="462"/>
        <v>23.452689179474511</v>
      </c>
      <c r="F1085" s="303"/>
      <c r="G1085" s="302">
        <v>13.272315521471748</v>
      </c>
      <c r="H1085" s="302">
        <v>8.2865033039916369</v>
      </c>
      <c r="I1085" s="302">
        <v>5.3333322327100454</v>
      </c>
      <c r="J1085" s="302">
        <f t="shared" ref="J1085:J1088" si="465">SUM(G1085:I1085)</f>
        <v>26.892151058173429</v>
      </c>
      <c r="K1085" s="303"/>
      <c r="L1085" s="302">
        <v>16.215482323182741</v>
      </c>
      <c r="M1085" s="302">
        <v>10.077694716693747</v>
      </c>
      <c r="N1085" s="302">
        <v>6.45281630004731</v>
      </c>
      <c r="O1085" s="302">
        <f t="shared" si="464"/>
        <v>32.7459933399238</v>
      </c>
    </row>
    <row r="1086" spans="1:15" s="236" customFormat="1" x14ac:dyDescent="0.3">
      <c r="A1086" s="237" t="str">
        <f>name!E$10</f>
        <v>Sales and customer service occupations</v>
      </c>
      <c r="B1086" s="302">
        <v>21.973514718231637</v>
      </c>
      <c r="C1086" s="302">
        <v>5.8467366124771898</v>
      </c>
      <c r="D1086" s="302">
        <v>1.7094278269671455</v>
      </c>
      <c r="E1086" s="302">
        <f t="shared" si="462"/>
        <v>29.529679157675975</v>
      </c>
      <c r="F1086" s="303"/>
      <c r="G1086" s="302">
        <v>23.687909949181911</v>
      </c>
      <c r="H1086" s="302">
        <v>6.5887769749198659</v>
      </c>
      <c r="I1086" s="302">
        <v>1.4027147113135845</v>
      </c>
      <c r="J1086" s="302">
        <f t="shared" si="465"/>
        <v>31.679401635415363</v>
      </c>
      <c r="K1086" s="303"/>
      <c r="L1086" s="302">
        <v>31.037180920554864</v>
      </c>
      <c r="M1086" s="302">
        <v>10.110705213937946</v>
      </c>
      <c r="N1086" s="302">
        <v>1.2891417734902018</v>
      </c>
      <c r="O1086" s="302">
        <f t="shared" si="464"/>
        <v>42.437027907983008</v>
      </c>
    </row>
    <row r="1087" spans="1:15" s="236" customFormat="1" x14ac:dyDescent="0.3">
      <c r="A1087" s="237" t="str">
        <f>name!E$11</f>
        <v>Process, plant and machine operatives</v>
      </c>
      <c r="B1087" s="302">
        <v>12.877817673351732</v>
      </c>
      <c r="C1087" s="302">
        <v>4.0723850664825481</v>
      </c>
      <c r="D1087" s="302">
        <v>0.67410535155209572</v>
      </c>
      <c r="E1087" s="302">
        <f t="shared" si="462"/>
        <v>17.624308091386379</v>
      </c>
      <c r="F1087" s="303"/>
      <c r="G1087" s="302">
        <v>10.344307703649148</v>
      </c>
      <c r="H1087" s="302">
        <v>4.7644904990682226</v>
      </c>
      <c r="I1087" s="302">
        <v>0.73063080435327088</v>
      </c>
      <c r="J1087" s="302">
        <f t="shared" si="465"/>
        <v>15.839429007070642</v>
      </c>
      <c r="K1087" s="303"/>
      <c r="L1087" s="302">
        <v>10.222699108843463</v>
      </c>
      <c r="M1087" s="302">
        <v>5.7051753777768237</v>
      </c>
      <c r="N1087" s="302">
        <v>0.94037500262752816</v>
      </c>
      <c r="O1087" s="302">
        <f t="shared" si="464"/>
        <v>16.868249489247816</v>
      </c>
    </row>
    <row r="1088" spans="1:15" s="236" customFormat="1" x14ac:dyDescent="0.3">
      <c r="A1088" s="237" t="str">
        <f>name!E$12</f>
        <v>Elementary occupations</v>
      </c>
      <c r="B1088" s="302">
        <v>85.295662184967355</v>
      </c>
      <c r="C1088" s="302">
        <v>42.036188458875706</v>
      </c>
      <c r="D1088" s="302">
        <v>16.402592143469505</v>
      </c>
      <c r="E1088" s="302">
        <f t="shared" si="462"/>
        <v>143.73444278731256</v>
      </c>
      <c r="F1088" s="303"/>
      <c r="G1088" s="302">
        <v>77.631013016213487</v>
      </c>
      <c r="H1088" s="302">
        <v>38.929493353885164</v>
      </c>
      <c r="I1088" s="302">
        <v>15.743629365350145</v>
      </c>
      <c r="J1088" s="302">
        <f t="shared" si="465"/>
        <v>132.3041357354488</v>
      </c>
      <c r="K1088" s="303"/>
      <c r="L1088" s="302">
        <v>88.533633727194399</v>
      </c>
      <c r="M1088" s="302">
        <v>34.098847810090788</v>
      </c>
      <c r="N1088" s="302">
        <v>20.360116091364787</v>
      </c>
      <c r="O1088" s="302">
        <f t="shared" si="464"/>
        <v>142.99259762864997</v>
      </c>
    </row>
    <row r="1089" spans="1:15" s="236" customFormat="1" x14ac:dyDescent="0.3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3">
      <c r="A1090" s="244" t="s">
        <v>32</v>
      </c>
      <c r="B1090" s="311">
        <f>SUM(B1080:B1088)</f>
        <v>297.40100000068043</v>
      </c>
      <c r="C1090" s="311">
        <f t="shared" ref="C1090:E1090" si="466">SUM(C1080:C1088)</f>
        <v>82.679000001163843</v>
      </c>
      <c r="D1090" s="311">
        <f t="shared" si="466"/>
        <v>51.814000000902304</v>
      </c>
      <c r="E1090" s="311">
        <f t="shared" si="466"/>
        <v>431.89400000274651</v>
      </c>
      <c r="F1090" s="311"/>
      <c r="G1090" s="311">
        <f t="shared" ref="G1090:J1090" si="467">SUM(G1080:G1088)</f>
        <v>328.70599999988173</v>
      </c>
      <c r="H1090" s="311">
        <f t="shared" si="467"/>
        <v>92.158000000139282</v>
      </c>
      <c r="I1090" s="311">
        <f t="shared" si="467"/>
        <v>53.433999999704803</v>
      </c>
      <c r="J1090" s="311">
        <f t="shared" si="467"/>
        <v>474.2979999997259</v>
      </c>
      <c r="K1090" s="311"/>
      <c r="L1090" s="311">
        <f t="shared" ref="L1090:O1090" si="468">SUM(L1080:L1088)</f>
        <v>376.24499999920823</v>
      </c>
      <c r="M1090" s="311">
        <f t="shared" si="468"/>
        <v>101.60600000000477</v>
      </c>
      <c r="N1090" s="311">
        <f t="shared" si="468"/>
        <v>60.578000000525236</v>
      </c>
      <c r="O1090" s="311">
        <f t="shared" si="468"/>
        <v>538.42899999973827</v>
      </c>
    </row>
    <row r="1091" spans="1:15" s="236" customFormat="1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3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3">
      <c r="A1094" s="241" t="str">
        <f>name!A67</f>
        <v>Public administration and defence</v>
      </c>
      <c r="B1094" s="375">
        <f>$B$6</f>
        <v>2015</v>
      </c>
      <c r="C1094" s="375"/>
      <c r="D1094" s="375"/>
      <c r="E1094" s="375"/>
      <c r="F1094" s="263"/>
      <c r="G1094" s="375">
        <f>$G$6</f>
        <v>2020</v>
      </c>
      <c r="H1094" s="375"/>
      <c r="I1094" s="375"/>
      <c r="J1094" s="375"/>
      <c r="K1094" s="263"/>
      <c r="L1094" s="375">
        <f>$L$6</f>
        <v>2035</v>
      </c>
      <c r="M1094" s="375"/>
      <c r="N1094" s="375"/>
      <c r="O1094" s="375"/>
    </row>
    <row r="1095" spans="1:15" s="236" customFormat="1" x14ac:dyDescent="0.3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3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3">
      <c r="A1097" s="237" t="str">
        <f>name!E$4</f>
        <v>Managers, directors and senior officials</v>
      </c>
      <c r="B1097" s="302">
        <v>61.41513417729788</v>
      </c>
      <c r="C1097" s="302">
        <v>15.511052312854412</v>
      </c>
      <c r="D1097" s="302">
        <v>4.8725051792655956</v>
      </c>
      <c r="E1097" s="302">
        <f>SUM(B1097:D1097)</f>
        <v>81.798691669417892</v>
      </c>
      <c r="F1097" s="303"/>
      <c r="G1097" s="302">
        <v>67.80667422064343</v>
      </c>
      <c r="H1097" s="302">
        <v>20.377859595194526</v>
      </c>
      <c r="I1097" s="302">
        <v>6.1834366037074995</v>
      </c>
      <c r="J1097" s="302">
        <f>SUM(G1097:I1097)</f>
        <v>94.367970419545458</v>
      </c>
      <c r="K1097" s="303"/>
      <c r="L1097" s="302">
        <v>66.543419457545028</v>
      </c>
      <c r="M1097" s="302">
        <v>25.754715307089409</v>
      </c>
      <c r="N1097" s="302">
        <v>7.1820060025670545</v>
      </c>
      <c r="O1097" s="302">
        <f>SUM(L1097:N1097)</f>
        <v>99.48014076720149</v>
      </c>
    </row>
    <row r="1098" spans="1:15" s="236" customFormat="1" x14ac:dyDescent="0.3">
      <c r="A1098" s="237" t="str">
        <f>name!E$5</f>
        <v>Professional occupations</v>
      </c>
      <c r="B1098" s="302">
        <v>153.89461285472836</v>
      </c>
      <c r="C1098" s="302">
        <v>49.549941324733282</v>
      </c>
      <c r="D1098" s="302">
        <v>13.641185340240266</v>
      </c>
      <c r="E1098" s="302">
        <f t="shared" ref="E1098:E1105" si="469">SUM(B1098:D1098)</f>
        <v>217.08573951970192</v>
      </c>
      <c r="F1098" s="303"/>
      <c r="G1098" s="302">
        <v>195.5857634429606</v>
      </c>
      <c r="H1098" s="302">
        <v>60.576746120284284</v>
      </c>
      <c r="I1098" s="302">
        <v>18.949770757388148</v>
      </c>
      <c r="J1098" s="302">
        <f t="shared" ref="J1098:J1100" si="470">SUM(G1098:I1098)</f>
        <v>275.11228032063303</v>
      </c>
      <c r="K1098" s="303"/>
      <c r="L1098" s="302">
        <v>222.27315061092443</v>
      </c>
      <c r="M1098" s="302">
        <v>80.665881433058203</v>
      </c>
      <c r="N1098" s="302">
        <v>16.650577200406854</v>
      </c>
      <c r="O1098" s="302">
        <f t="shared" ref="O1098:O1105" si="471">SUM(L1098:N1098)</f>
        <v>319.58960924438952</v>
      </c>
    </row>
    <row r="1099" spans="1:15" s="236" customFormat="1" x14ac:dyDescent="0.3">
      <c r="A1099" s="237" t="str">
        <f>name!E$6</f>
        <v>Associate professional occupations</v>
      </c>
      <c r="B1099" s="302">
        <v>253.71997642291188</v>
      </c>
      <c r="C1099" s="302">
        <v>54.587058529562135</v>
      </c>
      <c r="D1099" s="302">
        <v>7.5515537585331236</v>
      </c>
      <c r="E1099" s="302">
        <f t="shared" si="469"/>
        <v>315.85858871100714</v>
      </c>
      <c r="F1099" s="303"/>
      <c r="G1099" s="302">
        <v>283.23204162202433</v>
      </c>
      <c r="H1099" s="302">
        <v>55.301419606620037</v>
      </c>
      <c r="I1099" s="302">
        <v>7.9840190256744537</v>
      </c>
      <c r="J1099" s="302">
        <f t="shared" si="470"/>
        <v>346.5174802543188</v>
      </c>
      <c r="K1099" s="303"/>
      <c r="L1099" s="302">
        <v>321.5898884614669</v>
      </c>
      <c r="M1099" s="302">
        <v>65.910586457444609</v>
      </c>
      <c r="N1099" s="302">
        <v>7.5744392014854212</v>
      </c>
      <c r="O1099" s="302">
        <f t="shared" si="471"/>
        <v>395.0749141203969</v>
      </c>
    </row>
    <row r="1100" spans="1:15" s="236" customFormat="1" x14ac:dyDescent="0.3">
      <c r="A1100" s="237" t="str">
        <f>name!E$7</f>
        <v>Administrative and secretarial occupations</v>
      </c>
      <c r="B1100" s="302">
        <v>143.42753789356638</v>
      </c>
      <c r="C1100" s="302">
        <v>145.00593108345529</v>
      </c>
      <c r="D1100" s="302">
        <v>2.3750575272982331</v>
      </c>
      <c r="E1100" s="302">
        <f t="shared" si="469"/>
        <v>290.8085265043199</v>
      </c>
      <c r="F1100" s="303"/>
      <c r="G1100" s="302">
        <v>135.58299239958055</v>
      </c>
      <c r="H1100" s="302">
        <v>126.19869178073886</v>
      </c>
      <c r="I1100" s="302">
        <v>2.521961486723042</v>
      </c>
      <c r="J1100" s="302">
        <f t="shared" si="470"/>
        <v>264.30364566704247</v>
      </c>
      <c r="K1100" s="303"/>
      <c r="L1100" s="302">
        <v>89.263672525111076</v>
      </c>
      <c r="M1100" s="302">
        <v>109.90034636620874</v>
      </c>
      <c r="N1100" s="302">
        <v>1.9319493109264354</v>
      </c>
      <c r="O1100" s="302">
        <f t="shared" si="471"/>
        <v>201.09596820224624</v>
      </c>
    </row>
    <row r="1101" spans="1:15" s="236" customFormat="1" x14ac:dyDescent="0.3">
      <c r="A1101" s="237" t="str">
        <f>name!E$8</f>
        <v>Skilled trades occupations</v>
      </c>
      <c r="B1101" s="302">
        <v>11.095475110744513</v>
      </c>
      <c r="C1101" s="302">
        <v>1.5272252630304999</v>
      </c>
      <c r="D1101" s="302">
        <v>3.2461686171718172</v>
      </c>
      <c r="E1101" s="302">
        <f t="shared" si="469"/>
        <v>15.868868990946829</v>
      </c>
      <c r="F1101" s="303"/>
      <c r="G1101" s="302">
        <v>8.956224375281078</v>
      </c>
      <c r="H1101" s="302">
        <v>1.2401556938248941</v>
      </c>
      <c r="I1101" s="302">
        <v>1.8771805733440869</v>
      </c>
      <c r="J1101" s="302">
        <f>SUM(G1101:I1101)</f>
        <v>12.073560642450058</v>
      </c>
      <c r="K1101" s="303"/>
      <c r="L1101" s="302">
        <v>9.1496576424680995</v>
      </c>
      <c r="M1101" s="302">
        <v>3.1958323191253992</v>
      </c>
      <c r="N1101" s="302">
        <v>2.3368554169270204</v>
      </c>
      <c r="O1101" s="302">
        <f t="shared" si="471"/>
        <v>14.68234537852052</v>
      </c>
    </row>
    <row r="1102" spans="1:15" s="236" customFormat="1" x14ac:dyDescent="0.3">
      <c r="A1102" s="237" t="str">
        <f>name!E$9</f>
        <v>Caring, leisure and other service occupations</v>
      </c>
      <c r="B1102" s="302">
        <v>24.927989594512365</v>
      </c>
      <c r="C1102" s="302">
        <v>20.096162133432852</v>
      </c>
      <c r="D1102" s="302">
        <v>1.9802872525928856</v>
      </c>
      <c r="E1102" s="302">
        <f t="shared" si="469"/>
        <v>47.004438980538104</v>
      </c>
      <c r="F1102" s="303"/>
      <c r="G1102" s="302">
        <v>23.815085705310835</v>
      </c>
      <c r="H1102" s="302">
        <v>18.215253479034516</v>
      </c>
      <c r="I1102" s="302">
        <v>2.8056742682584157</v>
      </c>
      <c r="J1102" s="302">
        <f t="shared" ref="J1102:J1105" si="472">SUM(G1102:I1102)</f>
        <v>44.836013452603765</v>
      </c>
      <c r="K1102" s="303"/>
      <c r="L1102" s="302">
        <v>26.569728631428756</v>
      </c>
      <c r="M1102" s="302">
        <v>20.433716551684846</v>
      </c>
      <c r="N1102" s="302">
        <v>2.7511976902997626</v>
      </c>
      <c r="O1102" s="302">
        <f t="shared" si="471"/>
        <v>49.75464287341336</v>
      </c>
    </row>
    <row r="1103" spans="1:15" s="236" customFormat="1" x14ac:dyDescent="0.3">
      <c r="A1103" s="237" t="str">
        <f>name!E$10</f>
        <v>Sales and customer service occupations</v>
      </c>
      <c r="B1103" s="302">
        <v>12.935608371985277</v>
      </c>
      <c r="C1103" s="302">
        <v>13.969793318370783</v>
      </c>
      <c r="D1103" s="302">
        <v>1.1426286732691735</v>
      </c>
      <c r="E1103" s="302">
        <f t="shared" si="469"/>
        <v>28.04803036362523</v>
      </c>
      <c r="F1103" s="303"/>
      <c r="G1103" s="302">
        <v>12.445293927912516</v>
      </c>
      <c r="H1103" s="302">
        <v>13.183873111082749</v>
      </c>
      <c r="I1103" s="302">
        <v>1.0127222313266244</v>
      </c>
      <c r="J1103" s="302">
        <f t="shared" si="472"/>
        <v>26.641889270321887</v>
      </c>
      <c r="K1103" s="303"/>
      <c r="L1103" s="302">
        <v>13.555772216083353</v>
      </c>
      <c r="M1103" s="302">
        <v>17.465467163104137</v>
      </c>
      <c r="N1103" s="302">
        <v>1.1047862496602932</v>
      </c>
      <c r="O1103" s="302">
        <f t="shared" si="471"/>
        <v>32.126025628847785</v>
      </c>
    </row>
    <row r="1104" spans="1:15" s="236" customFormat="1" x14ac:dyDescent="0.3">
      <c r="A1104" s="237" t="str">
        <f>name!E$11</f>
        <v>Process, plant and machine operatives</v>
      </c>
      <c r="B1104" s="302">
        <v>7.0154944832913886</v>
      </c>
      <c r="C1104" s="302">
        <v>3.9181210014227692</v>
      </c>
      <c r="D1104" s="302">
        <v>0.73719478536370298</v>
      </c>
      <c r="E1104" s="302">
        <f t="shared" si="469"/>
        <v>11.670810270077862</v>
      </c>
      <c r="F1104" s="303"/>
      <c r="G1104" s="302">
        <v>5.3252335948946392</v>
      </c>
      <c r="H1104" s="302">
        <v>2.8646512967515516</v>
      </c>
      <c r="I1104" s="302">
        <v>0.84085550896838357</v>
      </c>
      <c r="J1104" s="302">
        <f t="shared" si="472"/>
        <v>9.0307404006145742</v>
      </c>
      <c r="K1104" s="303"/>
      <c r="L1104" s="302">
        <v>5.1752782670320565</v>
      </c>
      <c r="M1104" s="302">
        <v>4.4013472425255848</v>
      </c>
      <c r="N1104" s="302">
        <v>1.7521831814290714</v>
      </c>
      <c r="O1104" s="302">
        <f t="shared" si="471"/>
        <v>11.328808690986712</v>
      </c>
    </row>
    <row r="1105" spans="1:15" s="236" customFormat="1" x14ac:dyDescent="0.3">
      <c r="A1105" s="237" t="str">
        <f>name!E$12</f>
        <v>Elementary occupations</v>
      </c>
      <c r="B1105" s="302">
        <v>16.891171085362235</v>
      </c>
      <c r="C1105" s="302">
        <v>21.711715030775071</v>
      </c>
      <c r="D1105" s="302">
        <v>3.9624188662184308</v>
      </c>
      <c r="E1105" s="302">
        <f t="shared" si="469"/>
        <v>42.565304982355734</v>
      </c>
      <c r="F1105" s="303"/>
      <c r="G1105" s="302">
        <v>13.426690708944065</v>
      </c>
      <c r="H1105" s="302">
        <v>15.407349315112524</v>
      </c>
      <c r="I1105" s="302">
        <v>4.7153795449958338</v>
      </c>
      <c r="J1105" s="302">
        <f t="shared" si="472"/>
        <v>33.549419569052425</v>
      </c>
      <c r="K1105" s="303"/>
      <c r="L1105" s="302">
        <v>10.998432190016068</v>
      </c>
      <c r="M1105" s="302">
        <v>15.334107160230678</v>
      </c>
      <c r="N1105" s="302">
        <v>8.5830057470473289</v>
      </c>
      <c r="O1105" s="302">
        <f t="shared" si="471"/>
        <v>34.915545097294078</v>
      </c>
    </row>
    <row r="1106" spans="1:15" s="236" customFormat="1" x14ac:dyDescent="0.3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3">
      <c r="A1107" s="244" t="s">
        <v>32</v>
      </c>
      <c r="B1107" s="311">
        <f>SUM(B1097:B1105)</f>
        <v>685.32299999440022</v>
      </c>
      <c r="C1107" s="311">
        <f t="shared" ref="C1107:E1107" si="473">SUM(C1097:C1105)</f>
        <v>325.87699999763714</v>
      </c>
      <c r="D1107" s="311">
        <f t="shared" si="473"/>
        <v>39.508999999953225</v>
      </c>
      <c r="E1107" s="311">
        <f t="shared" si="473"/>
        <v>1050.7089999919904</v>
      </c>
      <c r="F1107" s="311"/>
      <c r="G1107" s="311">
        <f t="shared" ref="G1107:J1107" si="474">SUM(G1097:G1105)</f>
        <v>746.17599999755203</v>
      </c>
      <c r="H1107" s="311">
        <f t="shared" si="474"/>
        <v>313.36599999864393</v>
      </c>
      <c r="I1107" s="311">
        <f t="shared" si="474"/>
        <v>46.891000000386484</v>
      </c>
      <c r="J1107" s="311">
        <f t="shared" si="474"/>
        <v>1106.4329999965823</v>
      </c>
      <c r="K1107" s="311"/>
      <c r="L1107" s="311">
        <f t="shared" ref="L1107:O1107" si="475">SUM(L1097:L1105)</f>
        <v>765.11900000207584</v>
      </c>
      <c r="M1107" s="311">
        <f t="shared" si="475"/>
        <v>343.06200000047153</v>
      </c>
      <c r="N1107" s="311">
        <f t="shared" si="475"/>
        <v>49.86700000074925</v>
      </c>
      <c r="O1107" s="311">
        <f t="shared" si="475"/>
        <v>1158.0480000032967</v>
      </c>
    </row>
    <row r="1108" spans="1:15" s="236" customFormat="1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3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3">
      <c r="A1111" s="241" t="str">
        <f>name!A68</f>
        <v xml:space="preserve">Education </v>
      </c>
      <c r="B1111" s="375">
        <f>$B$6</f>
        <v>2015</v>
      </c>
      <c r="C1111" s="375"/>
      <c r="D1111" s="375"/>
      <c r="E1111" s="375"/>
      <c r="F1111" s="263"/>
      <c r="G1111" s="375">
        <f>$G$6</f>
        <v>2020</v>
      </c>
      <c r="H1111" s="375"/>
      <c r="I1111" s="375"/>
      <c r="J1111" s="375"/>
      <c r="K1111" s="263"/>
      <c r="L1111" s="375">
        <f>$L$6</f>
        <v>2035</v>
      </c>
      <c r="M1111" s="375"/>
      <c r="N1111" s="375"/>
      <c r="O1111" s="375"/>
    </row>
    <row r="1112" spans="1:15" s="236" customFormat="1" x14ac:dyDescent="0.3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3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3">
      <c r="A1114" s="237" t="str">
        <f>name!E$4</f>
        <v>Managers, directors and senior officials</v>
      </c>
      <c r="B1114" s="302">
        <v>34.394077288392637</v>
      </c>
      <c r="C1114" s="302">
        <v>14.609923129611044</v>
      </c>
      <c r="D1114" s="302">
        <v>17.297283705828058</v>
      </c>
      <c r="E1114" s="302">
        <f>SUM(B1114:D1114)</f>
        <v>66.301284123831749</v>
      </c>
      <c r="F1114" s="303"/>
      <c r="G1114" s="302">
        <v>32.994188618174967</v>
      </c>
      <c r="H1114" s="302">
        <v>19.31222539763143</v>
      </c>
      <c r="I1114" s="302">
        <v>18.97097804697005</v>
      </c>
      <c r="J1114" s="302">
        <f>SUM(G1114:I1114)</f>
        <v>71.277392062776443</v>
      </c>
      <c r="K1114" s="303"/>
      <c r="L1114" s="302">
        <v>33.637986843986845</v>
      </c>
      <c r="M1114" s="302">
        <v>22.436340203555552</v>
      </c>
      <c r="N1114" s="302">
        <v>19.981944799513453</v>
      </c>
      <c r="O1114" s="302">
        <f>SUM(L1114:N1114)</f>
        <v>76.056271847055854</v>
      </c>
    </row>
    <row r="1115" spans="1:15" s="236" customFormat="1" x14ac:dyDescent="0.3">
      <c r="A1115" s="237" t="str">
        <f>name!E$5</f>
        <v>Professional occupations</v>
      </c>
      <c r="B1115" s="302">
        <v>789.91768771398756</v>
      </c>
      <c r="C1115" s="302">
        <v>402.92500563337643</v>
      </c>
      <c r="D1115" s="302">
        <v>104.95556886457291</v>
      </c>
      <c r="E1115" s="302">
        <f t="shared" ref="E1115:E1122" si="476">SUM(B1115:D1115)</f>
        <v>1297.7982622119371</v>
      </c>
      <c r="F1115" s="303"/>
      <c r="G1115" s="302">
        <v>813.45180579840428</v>
      </c>
      <c r="H1115" s="302">
        <v>453.26878739195251</v>
      </c>
      <c r="I1115" s="302">
        <v>135.21314817228586</v>
      </c>
      <c r="J1115" s="302">
        <f t="shared" ref="J1115:J1117" si="477">SUM(G1115:I1115)</f>
        <v>1401.9337413626426</v>
      </c>
      <c r="K1115" s="303"/>
      <c r="L1115" s="302">
        <v>892.62296975460265</v>
      </c>
      <c r="M1115" s="302">
        <v>545.33036502715993</v>
      </c>
      <c r="N1115" s="302">
        <v>136.14521264971637</v>
      </c>
      <c r="O1115" s="302">
        <f t="shared" ref="O1115:O1122" si="478">SUM(L1115:N1115)</f>
        <v>1574.0985474314789</v>
      </c>
    </row>
    <row r="1116" spans="1:15" s="236" customFormat="1" x14ac:dyDescent="0.3">
      <c r="A1116" s="237" t="str">
        <f>name!E$6</f>
        <v>Associate professional occupations</v>
      </c>
      <c r="B1116" s="302">
        <v>76.422783995087201</v>
      </c>
      <c r="C1116" s="302">
        <v>76.656058079273521</v>
      </c>
      <c r="D1116" s="302">
        <v>49.5563457018362</v>
      </c>
      <c r="E1116" s="302">
        <f t="shared" si="476"/>
        <v>202.63518777619691</v>
      </c>
      <c r="F1116" s="303"/>
      <c r="G1116" s="302">
        <v>78.151176302760447</v>
      </c>
      <c r="H1116" s="302">
        <v>84.843356424490139</v>
      </c>
      <c r="I1116" s="302">
        <v>44.510165846712447</v>
      </c>
      <c r="J1116" s="302">
        <f t="shared" si="477"/>
        <v>207.50469857396305</v>
      </c>
      <c r="K1116" s="303"/>
      <c r="L1116" s="302">
        <v>72.202752591834468</v>
      </c>
      <c r="M1116" s="302">
        <v>83.619526283783003</v>
      </c>
      <c r="N1116" s="302">
        <v>42.772852294215525</v>
      </c>
      <c r="O1116" s="302">
        <f t="shared" si="478"/>
        <v>198.595131169833</v>
      </c>
    </row>
    <row r="1117" spans="1:15" s="236" customFormat="1" x14ac:dyDescent="0.3">
      <c r="A1117" s="237" t="str">
        <f>name!E$7</f>
        <v>Administrative and secretarial occupations</v>
      </c>
      <c r="B1117" s="302">
        <v>48.172816110927869</v>
      </c>
      <c r="C1117" s="302">
        <v>98.986772342420423</v>
      </c>
      <c r="D1117" s="302">
        <v>6.4378182685238627</v>
      </c>
      <c r="E1117" s="302">
        <f t="shared" si="476"/>
        <v>153.59740672187218</v>
      </c>
      <c r="F1117" s="303"/>
      <c r="G1117" s="302">
        <v>39.896345472622777</v>
      </c>
      <c r="H1117" s="302">
        <v>88.350190738338327</v>
      </c>
      <c r="I1117" s="302">
        <v>5.6960198589060971</v>
      </c>
      <c r="J1117" s="302">
        <f t="shared" si="477"/>
        <v>133.94255606986718</v>
      </c>
      <c r="K1117" s="303"/>
      <c r="L1117" s="302">
        <v>21.952660698579614</v>
      </c>
      <c r="M1117" s="302">
        <v>46.149905635081794</v>
      </c>
      <c r="N1117" s="302">
        <v>4.0552375713210358</v>
      </c>
      <c r="O1117" s="302">
        <f t="shared" si="478"/>
        <v>72.15780390498243</v>
      </c>
    </row>
    <row r="1118" spans="1:15" s="236" customFormat="1" x14ac:dyDescent="0.3">
      <c r="A1118" s="237" t="str">
        <f>name!E$8</f>
        <v>Skilled trades occupations</v>
      </c>
      <c r="B1118" s="302">
        <v>18.071200101307372</v>
      </c>
      <c r="C1118" s="302">
        <v>13.15443684362207</v>
      </c>
      <c r="D1118" s="302">
        <v>6.8477241841068874</v>
      </c>
      <c r="E1118" s="302">
        <f t="shared" si="476"/>
        <v>38.073361129036329</v>
      </c>
      <c r="F1118" s="303"/>
      <c r="G1118" s="302">
        <v>12.444327915349321</v>
      </c>
      <c r="H1118" s="302">
        <v>9.311323841943036</v>
      </c>
      <c r="I1118" s="302">
        <v>5.986152001139633</v>
      </c>
      <c r="J1118" s="302">
        <f>SUM(G1118:I1118)</f>
        <v>27.741803758431988</v>
      </c>
      <c r="K1118" s="303"/>
      <c r="L1118" s="302">
        <v>7.8427508770070817</v>
      </c>
      <c r="M1118" s="302">
        <v>4.6931372592220271</v>
      </c>
      <c r="N1118" s="302">
        <v>8.5587275543051913</v>
      </c>
      <c r="O1118" s="302">
        <f t="shared" si="478"/>
        <v>21.094615690534297</v>
      </c>
    </row>
    <row r="1119" spans="1:15" s="236" customFormat="1" x14ac:dyDescent="0.3">
      <c r="A1119" s="237" t="str">
        <f>name!E$9</f>
        <v>Caring, leisure and other service occupations</v>
      </c>
      <c r="B1119" s="302">
        <v>222.80359630718124</v>
      </c>
      <c r="C1119" s="302">
        <v>302.56323149060444</v>
      </c>
      <c r="D1119" s="302">
        <v>18.916235752994837</v>
      </c>
      <c r="E1119" s="302">
        <f t="shared" si="476"/>
        <v>544.28306355078041</v>
      </c>
      <c r="F1119" s="303"/>
      <c r="G1119" s="302">
        <v>195.81952453991701</v>
      </c>
      <c r="H1119" s="302">
        <v>289.12370295599322</v>
      </c>
      <c r="I1119" s="302">
        <v>19.483217000705096</v>
      </c>
      <c r="J1119" s="302">
        <f t="shared" ref="J1119:J1122" si="479">SUM(G1119:I1119)</f>
        <v>504.42644449661537</v>
      </c>
      <c r="K1119" s="303"/>
      <c r="L1119" s="302">
        <v>234.47702415928285</v>
      </c>
      <c r="M1119" s="302">
        <v>294.47533728873321</v>
      </c>
      <c r="N1119" s="302">
        <v>26.179300479181332</v>
      </c>
      <c r="O1119" s="302">
        <f t="shared" si="478"/>
        <v>555.13166192719734</v>
      </c>
    </row>
    <row r="1120" spans="1:15" s="236" customFormat="1" x14ac:dyDescent="0.3">
      <c r="A1120" s="237" t="str">
        <f>name!E$10</f>
        <v>Sales and customer service occupations</v>
      </c>
      <c r="B1120" s="302">
        <v>4.5723762267138142</v>
      </c>
      <c r="C1120" s="302">
        <v>8.3178520731753771</v>
      </c>
      <c r="D1120" s="302">
        <v>4.1499138996674265</v>
      </c>
      <c r="E1120" s="302">
        <f t="shared" si="476"/>
        <v>17.04014219955662</v>
      </c>
      <c r="F1120" s="303"/>
      <c r="G1120" s="302">
        <v>3.8083573421865498</v>
      </c>
      <c r="H1120" s="302">
        <v>7.5471095634695518</v>
      </c>
      <c r="I1120" s="302">
        <v>2.970412012191523</v>
      </c>
      <c r="J1120" s="302">
        <f t="shared" si="479"/>
        <v>14.325878917847625</v>
      </c>
      <c r="K1120" s="303"/>
      <c r="L1120" s="302">
        <v>3.8551056152798782</v>
      </c>
      <c r="M1120" s="302">
        <v>7.1084505734550181</v>
      </c>
      <c r="N1120" s="302">
        <v>3.4418351165164949</v>
      </c>
      <c r="O1120" s="302">
        <f t="shared" si="478"/>
        <v>14.405391305251392</v>
      </c>
    </row>
    <row r="1121" spans="1:15" s="236" customFormat="1" x14ac:dyDescent="0.3">
      <c r="A1121" s="237" t="str">
        <f>name!E$11</f>
        <v>Process, plant and machine operatives</v>
      </c>
      <c r="B1121" s="302">
        <v>3.0349889368894702</v>
      </c>
      <c r="C1121" s="302">
        <v>5.4911487567961963</v>
      </c>
      <c r="D1121" s="302">
        <v>42.463254566622744</v>
      </c>
      <c r="E1121" s="302">
        <f t="shared" si="476"/>
        <v>50.989392260308406</v>
      </c>
      <c r="F1121" s="303"/>
      <c r="G1121" s="302">
        <v>2.0370868876294366</v>
      </c>
      <c r="H1121" s="302">
        <v>4.1252687592855839</v>
      </c>
      <c r="I1121" s="302">
        <v>46.690605046297669</v>
      </c>
      <c r="J1121" s="302">
        <f t="shared" si="479"/>
        <v>52.852960693212694</v>
      </c>
      <c r="K1121" s="303"/>
      <c r="L1121" s="302">
        <v>1.6598069711156314</v>
      </c>
      <c r="M1121" s="302">
        <v>4.647078351992576</v>
      </c>
      <c r="N1121" s="302">
        <v>52.147753659104147</v>
      </c>
      <c r="O1121" s="302">
        <f t="shared" si="478"/>
        <v>58.454638982212352</v>
      </c>
    </row>
    <row r="1122" spans="1:15" s="236" customFormat="1" x14ac:dyDescent="0.3">
      <c r="A1122" s="237" t="str">
        <f>name!E$12</f>
        <v>Elementary occupations</v>
      </c>
      <c r="B1122" s="302">
        <v>13.546473349952993</v>
      </c>
      <c r="C1122" s="302">
        <v>135.68957160367944</v>
      </c>
      <c r="D1122" s="302">
        <v>7.3618550557994462</v>
      </c>
      <c r="E1122" s="302">
        <f t="shared" si="476"/>
        <v>156.5979000094319</v>
      </c>
      <c r="F1122" s="303"/>
      <c r="G1122" s="302">
        <v>9.9041871667943724</v>
      </c>
      <c r="H1122" s="302">
        <v>103.20703489123457</v>
      </c>
      <c r="I1122" s="302">
        <v>4.6633020164478429</v>
      </c>
      <c r="J1122" s="302">
        <f t="shared" si="479"/>
        <v>117.77452407447679</v>
      </c>
      <c r="K1122" s="303"/>
      <c r="L1122" s="302">
        <v>8.564942506852244</v>
      </c>
      <c r="M1122" s="302">
        <v>46.483859383480535</v>
      </c>
      <c r="N1122" s="302">
        <v>8.1901358845676882</v>
      </c>
      <c r="O1122" s="302">
        <f t="shared" si="478"/>
        <v>63.238937774900471</v>
      </c>
    </row>
    <row r="1123" spans="1:15" s="236" customFormat="1" x14ac:dyDescent="0.3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3">
      <c r="A1124" s="244" t="s">
        <v>32</v>
      </c>
      <c r="B1124" s="311">
        <f>SUM(B1114:B1122)</f>
        <v>1210.9360000304403</v>
      </c>
      <c r="C1124" s="311">
        <f t="shared" ref="C1124:E1124" si="480">SUM(C1114:C1122)</f>
        <v>1058.3939999525589</v>
      </c>
      <c r="D1124" s="311">
        <f t="shared" si="480"/>
        <v>257.98599999995236</v>
      </c>
      <c r="E1124" s="311">
        <f t="shared" si="480"/>
        <v>2527.3159999829513</v>
      </c>
      <c r="F1124" s="311"/>
      <c r="G1124" s="311">
        <f t="shared" ref="G1124:J1124" si="481">SUM(G1114:G1122)</f>
        <v>1188.5070000438391</v>
      </c>
      <c r="H1124" s="311">
        <f t="shared" si="481"/>
        <v>1059.0889999643387</v>
      </c>
      <c r="I1124" s="311">
        <f t="shared" si="481"/>
        <v>284.18400000165627</v>
      </c>
      <c r="J1124" s="311">
        <f t="shared" si="481"/>
        <v>2531.7800000098332</v>
      </c>
      <c r="K1124" s="311"/>
      <c r="L1124" s="311">
        <f t="shared" ref="L1124:O1124" si="482">SUM(L1114:L1122)</f>
        <v>1276.8160000185412</v>
      </c>
      <c r="M1124" s="311">
        <f t="shared" si="482"/>
        <v>1054.9440000064637</v>
      </c>
      <c r="N1124" s="311">
        <f t="shared" si="482"/>
        <v>301.47300000844126</v>
      </c>
      <c r="O1124" s="311">
        <f t="shared" si="482"/>
        <v>2633.2330000334455</v>
      </c>
    </row>
    <row r="1125" spans="1:15" s="236" customFormat="1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3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3">
      <c r="A1128" s="241" t="str">
        <f>name!A69</f>
        <v>Health</v>
      </c>
      <c r="B1128" s="375">
        <f>$B$6</f>
        <v>2015</v>
      </c>
      <c r="C1128" s="375"/>
      <c r="D1128" s="375"/>
      <c r="E1128" s="375"/>
      <c r="F1128" s="263"/>
      <c r="G1128" s="375">
        <f>$G$6</f>
        <v>2020</v>
      </c>
      <c r="H1128" s="375"/>
      <c r="I1128" s="375"/>
      <c r="J1128" s="375"/>
      <c r="K1128" s="263"/>
      <c r="L1128" s="375">
        <f>$L$6</f>
        <v>2035</v>
      </c>
      <c r="M1128" s="375"/>
      <c r="N1128" s="375"/>
      <c r="O1128" s="375"/>
    </row>
    <row r="1129" spans="1:15" s="236" customFormat="1" x14ac:dyDescent="0.3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3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3">
      <c r="A1131" s="237" t="str">
        <f>name!E$4</f>
        <v>Managers, directors and senior officials</v>
      </c>
      <c r="B1131" s="302">
        <v>58.608440503656865</v>
      </c>
      <c r="C1131" s="302">
        <v>16.299361366020086</v>
      </c>
      <c r="D1131" s="302">
        <v>10.830533315502988</v>
      </c>
      <c r="E1131" s="302">
        <f>SUM(B1131:D1131)</f>
        <v>85.738335185179935</v>
      </c>
      <c r="F1131" s="303"/>
      <c r="G1131" s="302">
        <v>68.273922184055692</v>
      </c>
      <c r="H1131" s="302">
        <v>24.43574546249755</v>
      </c>
      <c r="I1131" s="302">
        <v>15.581442540649206</v>
      </c>
      <c r="J1131" s="302">
        <f>SUM(G1131:I1131)</f>
        <v>108.29111018720245</v>
      </c>
      <c r="K1131" s="303"/>
      <c r="L1131" s="302">
        <v>80.808857908623153</v>
      </c>
      <c r="M1131" s="302">
        <v>31.502263398112913</v>
      </c>
      <c r="N1131" s="302">
        <v>16.348231011699141</v>
      </c>
      <c r="O1131" s="302">
        <f>SUM(L1131:N1131)</f>
        <v>128.6593523184352</v>
      </c>
    </row>
    <row r="1132" spans="1:15" s="236" customFormat="1" x14ac:dyDescent="0.3">
      <c r="A1132" s="237" t="str">
        <f>name!E$5</f>
        <v>Professional occupations</v>
      </c>
      <c r="B1132" s="302">
        <v>372.68425744619663</v>
      </c>
      <c r="C1132" s="302">
        <v>170.62479689968552</v>
      </c>
      <c r="D1132" s="302">
        <v>62.981758765893211</v>
      </c>
      <c r="E1132" s="302">
        <f t="shared" ref="E1132:E1139" si="483">SUM(B1132:D1132)</f>
        <v>606.29081311177538</v>
      </c>
      <c r="F1132" s="303"/>
      <c r="G1132" s="302">
        <v>460.32668770612901</v>
      </c>
      <c r="H1132" s="302">
        <v>218.66292279581717</v>
      </c>
      <c r="I1132" s="302">
        <v>73.913849630246489</v>
      </c>
      <c r="J1132" s="302">
        <f t="shared" ref="J1132:J1134" si="484">SUM(G1132:I1132)</f>
        <v>752.90346013219255</v>
      </c>
      <c r="K1132" s="303"/>
      <c r="L1132" s="302">
        <v>554.88208500403243</v>
      </c>
      <c r="M1132" s="302">
        <v>275.162946439976</v>
      </c>
      <c r="N1132" s="302">
        <v>84.510045494032781</v>
      </c>
      <c r="O1132" s="302">
        <f t="shared" ref="O1132:O1139" si="485">SUM(L1132:N1132)</f>
        <v>914.55507693804111</v>
      </c>
    </row>
    <row r="1133" spans="1:15" s="236" customFormat="1" x14ac:dyDescent="0.3">
      <c r="A1133" s="237" t="str">
        <f>name!E$6</f>
        <v>Associate professional occupations</v>
      </c>
      <c r="B1133" s="302">
        <v>149.26930049918838</v>
      </c>
      <c r="C1133" s="302">
        <v>88.117004688189922</v>
      </c>
      <c r="D1133" s="302">
        <v>24.450664467713896</v>
      </c>
      <c r="E1133" s="302">
        <f t="shared" si="483"/>
        <v>261.83696965509222</v>
      </c>
      <c r="F1133" s="303"/>
      <c r="G1133" s="302">
        <v>179.35832769393625</v>
      </c>
      <c r="H1133" s="302">
        <v>112.64395880915123</v>
      </c>
      <c r="I1133" s="302">
        <v>22.423605928154373</v>
      </c>
      <c r="J1133" s="302">
        <f t="shared" si="484"/>
        <v>314.42589243124183</v>
      </c>
      <c r="K1133" s="303"/>
      <c r="L1133" s="302">
        <v>193.82349253009505</v>
      </c>
      <c r="M1133" s="302">
        <v>126.05741041447068</v>
      </c>
      <c r="N1133" s="302">
        <v>30.814458900692042</v>
      </c>
      <c r="O1133" s="302">
        <f t="shared" si="485"/>
        <v>350.69536184525776</v>
      </c>
    </row>
    <row r="1134" spans="1:15" s="236" customFormat="1" x14ac:dyDescent="0.3">
      <c r="A1134" s="237" t="str">
        <f>name!E$7</f>
        <v>Administrative and secretarial occupations</v>
      </c>
      <c r="B1134" s="302">
        <v>84.868952982041719</v>
      </c>
      <c r="C1134" s="302">
        <v>96.106348054731498</v>
      </c>
      <c r="D1134" s="302">
        <v>5.4057276599225403</v>
      </c>
      <c r="E1134" s="302">
        <f t="shared" si="483"/>
        <v>186.38102869669575</v>
      </c>
      <c r="F1134" s="303"/>
      <c r="G1134" s="302">
        <v>85.220510210249401</v>
      </c>
      <c r="H1134" s="302">
        <v>96.877111029795017</v>
      </c>
      <c r="I1134" s="302">
        <v>4.2329600514098056</v>
      </c>
      <c r="J1134" s="302">
        <f t="shared" si="484"/>
        <v>186.33058129145422</v>
      </c>
      <c r="K1134" s="303"/>
      <c r="L1134" s="302">
        <v>67.208514492927421</v>
      </c>
      <c r="M1134" s="302">
        <v>54.650212952337604</v>
      </c>
      <c r="N1134" s="302">
        <v>3.0815291763391777</v>
      </c>
      <c r="O1134" s="302">
        <f t="shared" si="485"/>
        <v>124.94025662160421</v>
      </c>
    </row>
    <row r="1135" spans="1:15" s="236" customFormat="1" x14ac:dyDescent="0.3">
      <c r="A1135" s="237" t="str">
        <f>name!E$8</f>
        <v>Skilled trades occupations</v>
      </c>
      <c r="B1135" s="302">
        <v>11.030096453457769</v>
      </c>
      <c r="C1135" s="302">
        <v>9.5064513740486074</v>
      </c>
      <c r="D1135" s="302">
        <v>4.2688266587967982</v>
      </c>
      <c r="E1135" s="302">
        <f t="shared" si="483"/>
        <v>24.805374486303172</v>
      </c>
      <c r="F1135" s="303"/>
      <c r="G1135" s="302">
        <v>9.0252319043749214</v>
      </c>
      <c r="H1135" s="302">
        <v>7.834521178843568</v>
      </c>
      <c r="I1135" s="302">
        <v>4.9834459820119426</v>
      </c>
      <c r="J1135" s="302">
        <f>SUM(G1135:I1135)</f>
        <v>21.843199065230433</v>
      </c>
      <c r="K1135" s="303"/>
      <c r="L1135" s="302">
        <v>6.1141352499304267</v>
      </c>
      <c r="M1135" s="302">
        <v>6.3515856368271262</v>
      </c>
      <c r="N1135" s="302">
        <v>5.2059551260344339</v>
      </c>
      <c r="O1135" s="302">
        <f t="shared" si="485"/>
        <v>17.671676012791984</v>
      </c>
    </row>
    <row r="1136" spans="1:15" s="236" customFormat="1" x14ac:dyDescent="0.3">
      <c r="A1136" s="237" t="str">
        <f>name!E$9</f>
        <v>Caring, leisure and other service occupations</v>
      </c>
      <c r="B1136" s="302">
        <v>358.06895137920225</v>
      </c>
      <c r="C1136" s="302">
        <v>291.07546528776624</v>
      </c>
      <c r="D1136" s="302">
        <v>47.289728097213768</v>
      </c>
      <c r="E1136" s="302">
        <f t="shared" si="483"/>
        <v>696.43414476418229</v>
      </c>
      <c r="F1136" s="303"/>
      <c r="G1136" s="302">
        <v>381.10780021507821</v>
      </c>
      <c r="H1136" s="302">
        <v>312.66672395814379</v>
      </c>
      <c r="I1136" s="302">
        <v>51.33847709803095</v>
      </c>
      <c r="J1136" s="302">
        <f t="shared" ref="J1136:J1139" si="486">SUM(G1136:I1136)</f>
        <v>745.11300127125298</v>
      </c>
      <c r="K1136" s="303"/>
      <c r="L1136" s="302">
        <v>463.83837409117785</v>
      </c>
      <c r="M1136" s="302">
        <v>368.4170114745271</v>
      </c>
      <c r="N1136" s="302">
        <v>67.835419335080431</v>
      </c>
      <c r="O1136" s="302">
        <f t="shared" si="485"/>
        <v>900.09080490078543</v>
      </c>
    </row>
    <row r="1137" spans="1:15" s="236" customFormat="1" x14ac:dyDescent="0.3">
      <c r="A1137" s="237" t="str">
        <f>name!E$10</f>
        <v>Sales and customer service occupations</v>
      </c>
      <c r="B1137" s="302">
        <v>12.653818754514155</v>
      </c>
      <c r="C1137" s="302">
        <v>12.428449217550218</v>
      </c>
      <c r="D1137" s="302">
        <v>1.9943356367352694</v>
      </c>
      <c r="E1137" s="302">
        <f t="shared" si="483"/>
        <v>27.07660360879964</v>
      </c>
      <c r="F1137" s="303"/>
      <c r="G1137" s="302">
        <v>12.653106428672519</v>
      </c>
      <c r="H1137" s="302">
        <v>12.569971342977967</v>
      </c>
      <c r="I1137" s="302">
        <v>1.6210267211653204</v>
      </c>
      <c r="J1137" s="302">
        <f t="shared" si="486"/>
        <v>26.844104492815809</v>
      </c>
      <c r="K1137" s="303"/>
      <c r="L1137" s="302">
        <v>13.942636205162092</v>
      </c>
      <c r="M1137" s="302">
        <v>14.170723992450837</v>
      </c>
      <c r="N1137" s="302">
        <v>2.0756485429683953</v>
      </c>
      <c r="O1137" s="302">
        <f t="shared" si="485"/>
        <v>30.189008740581322</v>
      </c>
    </row>
    <row r="1138" spans="1:15" s="236" customFormat="1" x14ac:dyDescent="0.3">
      <c r="A1138" s="237" t="str">
        <f>name!E$11</f>
        <v>Process, plant and machine operatives</v>
      </c>
      <c r="B1138" s="302">
        <v>3.5188103828618167</v>
      </c>
      <c r="C1138" s="302">
        <v>6.4883513015601295</v>
      </c>
      <c r="D1138" s="302">
        <v>0.78075956396392043</v>
      </c>
      <c r="E1138" s="302">
        <f t="shared" si="483"/>
        <v>10.787921248385867</v>
      </c>
      <c r="F1138" s="303"/>
      <c r="G1138" s="302">
        <v>2.8006554135257287</v>
      </c>
      <c r="H1138" s="302">
        <v>5.9246591440176442</v>
      </c>
      <c r="I1138" s="302">
        <v>1.1286925636660097</v>
      </c>
      <c r="J1138" s="302">
        <f t="shared" si="486"/>
        <v>9.8540071212093814</v>
      </c>
      <c r="K1138" s="303"/>
      <c r="L1138" s="302">
        <v>1.7097144511689948</v>
      </c>
      <c r="M1138" s="302">
        <v>5.338517519041905</v>
      </c>
      <c r="N1138" s="302">
        <v>0.9829679915928291</v>
      </c>
      <c r="O1138" s="302">
        <f t="shared" si="485"/>
        <v>8.0311999618037291</v>
      </c>
    </row>
    <row r="1139" spans="1:15" s="236" customFormat="1" x14ac:dyDescent="0.3">
      <c r="A1139" s="237" t="str">
        <f>name!E$12</f>
        <v>Elementary occupations</v>
      </c>
      <c r="B1139" s="302">
        <v>15.645371591606688</v>
      </c>
      <c r="C1139" s="302">
        <v>39.176771797643831</v>
      </c>
      <c r="D1139" s="302">
        <v>1.9836658289886182</v>
      </c>
      <c r="E1139" s="302">
        <f t="shared" si="483"/>
        <v>56.805809218239141</v>
      </c>
      <c r="F1139" s="303"/>
      <c r="G1139" s="302">
        <v>13.944758240813032</v>
      </c>
      <c r="H1139" s="302">
        <v>31.93138626694402</v>
      </c>
      <c r="I1139" s="302">
        <v>1.5424994952433089</v>
      </c>
      <c r="J1139" s="302">
        <f t="shared" si="486"/>
        <v>47.418644003000367</v>
      </c>
      <c r="K1139" s="303"/>
      <c r="L1139" s="302">
        <v>11.53119006483098</v>
      </c>
      <c r="M1139" s="302">
        <v>17.733328168955239</v>
      </c>
      <c r="N1139" s="302">
        <v>2.1657444262742116</v>
      </c>
      <c r="O1139" s="302">
        <f t="shared" si="485"/>
        <v>31.430262660060432</v>
      </c>
    </row>
    <row r="1140" spans="1:15" s="236" customFormat="1" x14ac:dyDescent="0.3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3">
      <c r="A1141" s="244" t="s">
        <v>32</v>
      </c>
      <c r="B1141" s="311">
        <f>SUM(B1131:B1139)</f>
        <v>1066.347999992726</v>
      </c>
      <c r="C1141" s="311">
        <f t="shared" ref="C1141:E1141" si="487">SUM(C1131:C1139)</f>
        <v>729.822999987196</v>
      </c>
      <c r="D1141" s="311">
        <f t="shared" si="487"/>
        <v>159.98599999473097</v>
      </c>
      <c r="E1141" s="311">
        <f t="shared" si="487"/>
        <v>1956.1569999746532</v>
      </c>
      <c r="F1141" s="311"/>
      <c r="G1141" s="311">
        <f t="shared" ref="G1141:J1141" si="488">SUM(G1131:G1139)</f>
        <v>1212.710999996835</v>
      </c>
      <c r="H1141" s="311">
        <f t="shared" si="488"/>
        <v>823.54699998818796</v>
      </c>
      <c r="I1141" s="311">
        <f t="shared" si="488"/>
        <v>176.76600001057741</v>
      </c>
      <c r="J1141" s="311">
        <f t="shared" si="488"/>
        <v>2213.0239999955998</v>
      </c>
      <c r="K1141" s="311"/>
      <c r="L1141" s="311">
        <f t="shared" ref="L1141:O1141" si="489">SUM(L1131:L1139)</f>
        <v>1393.8589999979483</v>
      </c>
      <c r="M1141" s="311">
        <f t="shared" si="489"/>
        <v>899.38399999669946</v>
      </c>
      <c r="N1141" s="311">
        <f t="shared" si="489"/>
        <v>213.02000000471344</v>
      </c>
      <c r="O1141" s="311">
        <f t="shared" si="489"/>
        <v>2506.2629999993615</v>
      </c>
    </row>
    <row r="1142" spans="1:15" s="236" customFormat="1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3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3">
      <c r="A1145" s="241" t="str">
        <f>name!A70</f>
        <v>Residential care</v>
      </c>
      <c r="B1145" s="375">
        <f>$B$6</f>
        <v>2015</v>
      </c>
      <c r="C1145" s="375"/>
      <c r="D1145" s="375"/>
      <c r="E1145" s="375"/>
      <c r="F1145" s="263"/>
      <c r="G1145" s="375">
        <f>$G$6</f>
        <v>2020</v>
      </c>
      <c r="H1145" s="375"/>
      <c r="I1145" s="375"/>
      <c r="J1145" s="375"/>
      <c r="K1145" s="263"/>
      <c r="L1145" s="375">
        <f>$L$6</f>
        <v>2035</v>
      </c>
      <c r="M1145" s="375"/>
      <c r="N1145" s="375"/>
      <c r="O1145" s="375"/>
    </row>
    <row r="1146" spans="1:15" s="236" customFormat="1" x14ac:dyDescent="0.3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3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3">
      <c r="A1148" s="237" t="str">
        <f>name!E$4</f>
        <v>Managers, directors and senior officials</v>
      </c>
      <c r="B1148" s="302">
        <v>18.976216143746836</v>
      </c>
      <c r="C1148" s="302">
        <v>6.4547235463046233</v>
      </c>
      <c r="D1148" s="302">
        <v>2.9694063320865816</v>
      </c>
      <c r="E1148" s="302">
        <f>SUM(B1148:D1148)</f>
        <v>28.400346022138041</v>
      </c>
      <c r="F1148" s="303"/>
      <c r="G1148" s="302">
        <v>19.361510432547664</v>
      </c>
      <c r="H1148" s="302">
        <v>7.5084480519684655</v>
      </c>
      <c r="I1148" s="302">
        <v>2.8276170133726519</v>
      </c>
      <c r="J1148" s="302">
        <f>SUM(G1148:I1148)</f>
        <v>29.697575497888781</v>
      </c>
      <c r="K1148" s="303"/>
      <c r="L1148" s="302">
        <v>25.519521060181734</v>
      </c>
      <c r="M1148" s="302">
        <v>8.5523484679511199</v>
      </c>
      <c r="N1148" s="302">
        <v>3.4925511960402451</v>
      </c>
      <c r="O1148" s="302">
        <f>SUM(L1148:N1148)</f>
        <v>37.564420724173097</v>
      </c>
    </row>
    <row r="1149" spans="1:15" s="236" customFormat="1" x14ac:dyDescent="0.3">
      <c r="A1149" s="237" t="str">
        <f>name!E$5</f>
        <v>Professional occupations</v>
      </c>
      <c r="B1149" s="302">
        <v>119.4940912644535</v>
      </c>
      <c r="C1149" s="302">
        <v>60.208673677158011</v>
      </c>
      <c r="D1149" s="302">
        <v>18.339246942711462</v>
      </c>
      <c r="E1149" s="302">
        <f t="shared" ref="E1149:E1156" si="490">SUM(B1149:D1149)</f>
        <v>198.04201188432299</v>
      </c>
      <c r="F1149" s="303"/>
      <c r="G1149" s="302">
        <v>127.89975716873992</v>
      </c>
      <c r="H1149" s="302">
        <v>62.097439059699028</v>
      </c>
      <c r="I1149" s="302">
        <v>18.313501225570192</v>
      </c>
      <c r="J1149" s="302">
        <f t="shared" ref="J1149:J1151" si="491">SUM(G1149:I1149)</f>
        <v>208.31069745400913</v>
      </c>
      <c r="K1149" s="303"/>
      <c r="L1149" s="302">
        <v>171.44064161104649</v>
      </c>
      <c r="M1149" s="302">
        <v>70.191659682585353</v>
      </c>
      <c r="N1149" s="302">
        <v>21.983621337526291</v>
      </c>
      <c r="O1149" s="302">
        <f t="shared" ref="O1149:O1156" si="492">SUM(L1149:N1149)</f>
        <v>263.61592263115813</v>
      </c>
    </row>
    <row r="1150" spans="1:15" s="236" customFormat="1" x14ac:dyDescent="0.3">
      <c r="A1150" s="237" t="str">
        <f>name!E$6</f>
        <v>Associate professional occupations</v>
      </c>
      <c r="B1150" s="302">
        <v>47.791231178065281</v>
      </c>
      <c r="C1150" s="302">
        <v>32.359407758951292</v>
      </c>
      <c r="D1150" s="302">
        <v>8.93857859067748</v>
      </c>
      <c r="E1150" s="302">
        <f t="shared" si="490"/>
        <v>89.089217527694046</v>
      </c>
      <c r="F1150" s="303"/>
      <c r="G1150" s="302">
        <v>49.978020631322131</v>
      </c>
      <c r="H1150" s="302">
        <v>32.8678664299036</v>
      </c>
      <c r="I1150" s="302">
        <v>6.971514772773399</v>
      </c>
      <c r="J1150" s="302">
        <f t="shared" si="491"/>
        <v>89.817401833999142</v>
      </c>
      <c r="K1150" s="303"/>
      <c r="L1150" s="302">
        <v>60.818138622029174</v>
      </c>
      <c r="M1150" s="302">
        <v>32.969431235817723</v>
      </c>
      <c r="N1150" s="302">
        <v>9.0363335097495732</v>
      </c>
      <c r="O1150" s="302">
        <f t="shared" si="492"/>
        <v>102.82390336759647</v>
      </c>
    </row>
    <row r="1151" spans="1:15" s="236" customFormat="1" x14ac:dyDescent="0.3">
      <c r="A1151" s="237" t="str">
        <f>name!E$7</f>
        <v>Administrative and secretarial occupations</v>
      </c>
      <c r="B1151" s="302">
        <v>28.147668469590926</v>
      </c>
      <c r="C1151" s="302">
        <v>36.614276058199472</v>
      </c>
      <c r="D1151" s="302">
        <v>2.17727877542614</v>
      </c>
      <c r="E1151" s="302">
        <f t="shared" si="490"/>
        <v>66.939223303216551</v>
      </c>
      <c r="F1151" s="303"/>
      <c r="G1151" s="302">
        <v>24.940816922069697</v>
      </c>
      <c r="H1151" s="302">
        <v>29.615374793864081</v>
      </c>
      <c r="I1151" s="302">
        <v>1.2904656874546232</v>
      </c>
      <c r="J1151" s="302">
        <f t="shared" si="491"/>
        <v>55.846657403388399</v>
      </c>
      <c r="K1151" s="303"/>
      <c r="L1151" s="302">
        <v>21.668209961738611</v>
      </c>
      <c r="M1151" s="302">
        <v>15.863726919180401</v>
      </c>
      <c r="N1151" s="302">
        <v>0.74593789621854867</v>
      </c>
      <c r="O1151" s="302">
        <f t="shared" si="492"/>
        <v>38.277874777137562</v>
      </c>
    </row>
    <row r="1152" spans="1:15" s="236" customFormat="1" x14ac:dyDescent="0.3">
      <c r="A1152" s="237" t="str">
        <f>name!E$8</f>
        <v>Skilled trades occupations</v>
      </c>
      <c r="B1152" s="302">
        <v>3.5252559100586027</v>
      </c>
      <c r="C1152" s="302">
        <v>3.9972447570128051</v>
      </c>
      <c r="D1152" s="302">
        <v>0.88254652020734359</v>
      </c>
      <c r="E1152" s="302">
        <f t="shared" si="490"/>
        <v>8.4050471872787522</v>
      </c>
      <c r="F1152" s="303"/>
      <c r="G1152" s="302">
        <v>2.4423956378608183</v>
      </c>
      <c r="H1152" s="302">
        <v>2.4823071625422082</v>
      </c>
      <c r="I1152" s="302">
        <v>0.77885531881003656</v>
      </c>
      <c r="J1152" s="302">
        <f>SUM(G1152:I1152)</f>
        <v>5.7035581192130627</v>
      </c>
      <c r="K1152" s="303"/>
      <c r="L1152" s="302">
        <v>1.7359133352839324</v>
      </c>
      <c r="M1152" s="302">
        <v>1.8862665668962517</v>
      </c>
      <c r="N1152" s="302">
        <v>0.99651573439343166</v>
      </c>
      <c r="O1152" s="302">
        <f t="shared" si="492"/>
        <v>4.6186956365736158</v>
      </c>
    </row>
    <row r="1153" spans="1:15" s="236" customFormat="1" x14ac:dyDescent="0.3">
      <c r="A1153" s="237" t="str">
        <f>name!E$9</f>
        <v>Caring, leisure and other service occupations</v>
      </c>
      <c r="B1153" s="302">
        <v>117.28629728326173</v>
      </c>
      <c r="C1153" s="302">
        <v>107.7035245411525</v>
      </c>
      <c r="D1153" s="302">
        <v>20.659776446492206</v>
      </c>
      <c r="E1153" s="302">
        <f t="shared" si="490"/>
        <v>245.64959827090644</v>
      </c>
      <c r="F1153" s="303"/>
      <c r="G1153" s="302">
        <v>110.01965801353508</v>
      </c>
      <c r="H1153" s="302">
        <v>92.220251734648144</v>
      </c>
      <c r="I1153" s="302">
        <v>19.312599984013733</v>
      </c>
      <c r="J1153" s="302">
        <f t="shared" ref="J1153:J1156" si="493">SUM(G1153:I1153)</f>
        <v>221.55250973219694</v>
      </c>
      <c r="K1153" s="303"/>
      <c r="L1153" s="302">
        <v>147.11963880689697</v>
      </c>
      <c r="M1153" s="302">
        <v>99.476253517275751</v>
      </c>
      <c r="N1153" s="302">
        <v>22.135277811123473</v>
      </c>
      <c r="O1153" s="302">
        <f t="shared" si="492"/>
        <v>268.73117013529622</v>
      </c>
    </row>
    <row r="1154" spans="1:15" s="236" customFormat="1" x14ac:dyDescent="0.3">
      <c r="A1154" s="237" t="str">
        <f>name!E$10</f>
        <v>Sales and customer service occupations</v>
      </c>
      <c r="B1154" s="302">
        <v>4.1462657146004513</v>
      </c>
      <c r="C1154" s="302">
        <v>4.7890289432020916</v>
      </c>
      <c r="D1154" s="302">
        <v>0.68757904185040886</v>
      </c>
      <c r="E1154" s="302">
        <f t="shared" si="490"/>
        <v>9.6228736996529527</v>
      </c>
      <c r="F1154" s="303"/>
      <c r="G1154" s="302">
        <v>3.652596955017013</v>
      </c>
      <c r="H1154" s="302">
        <v>3.7663361970143194</v>
      </c>
      <c r="I1154" s="302">
        <v>0.36432851738351374</v>
      </c>
      <c r="J1154" s="302">
        <f t="shared" si="493"/>
        <v>7.7832616694148458</v>
      </c>
      <c r="K1154" s="303"/>
      <c r="L1154" s="302">
        <v>4.5130619489430517</v>
      </c>
      <c r="M1154" s="302">
        <v>3.8641896651308527</v>
      </c>
      <c r="N1154" s="302">
        <v>0.55911905551145713</v>
      </c>
      <c r="O1154" s="302">
        <f t="shared" si="492"/>
        <v>8.9363706695853615</v>
      </c>
    </row>
    <row r="1155" spans="1:15" s="236" customFormat="1" x14ac:dyDescent="0.3">
      <c r="A1155" s="237" t="str">
        <f>name!E$11</f>
        <v>Process, plant and machine operatives</v>
      </c>
      <c r="B1155" s="302">
        <v>1.1467516532435917</v>
      </c>
      <c r="C1155" s="302">
        <v>3.1831091591031657</v>
      </c>
      <c r="D1155" s="302">
        <v>0.15627728553270126</v>
      </c>
      <c r="E1155" s="302">
        <f t="shared" si="490"/>
        <v>4.4861380978794578</v>
      </c>
      <c r="F1155" s="303"/>
      <c r="G1155" s="302">
        <v>0.77919124978952259</v>
      </c>
      <c r="H1155" s="302">
        <v>2.181984728338124</v>
      </c>
      <c r="I1155" s="302">
        <v>0.15366824521125128</v>
      </c>
      <c r="J1155" s="302">
        <f t="shared" si="493"/>
        <v>3.1148442233388978</v>
      </c>
      <c r="K1155" s="303"/>
      <c r="L1155" s="302">
        <v>0.49735931435784664</v>
      </c>
      <c r="M1155" s="302">
        <v>1.7603439825536844</v>
      </c>
      <c r="N1155" s="302">
        <v>0.19092179624656661</v>
      </c>
      <c r="O1155" s="302">
        <f t="shared" si="492"/>
        <v>2.448625093158098</v>
      </c>
    </row>
    <row r="1156" spans="1:15" s="236" customFormat="1" x14ac:dyDescent="0.3">
      <c r="A1156" s="237" t="str">
        <f>name!E$12</f>
        <v>Elementary occupations</v>
      </c>
      <c r="B1156" s="302">
        <v>5.0812223807087395</v>
      </c>
      <c r="C1156" s="302">
        <v>16.059011554436456</v>
      </c>
      <c r="D1156" s="302">
        <v>0.75831006176698112</v>
      </c>
      <c r="E1156" s="302">
        <f t="shared" si="490"/>
        <v>21.898543996912178</v>
      </c>
      <c r="F1156" s="303"/>
      <c r="G1156" s="302">
        <v>3.8470529879779196</v>
      </c>
      <c r="H1156" s="302">
        <v>9.9819918387871223</v>
      </c>
      <c r="I1156" s="302">
        <v>0.37844923882264786</v>
      </c>
      <c r="J1156" s="302">
        <f t="shared" si="493"/>
        <v>14.20749406558769</v>
      </c>
      <c r="K1156" s="303"/>
      <c r="L1156" s="302">
        <v>3.369515338702215</v>
      </c>
      <c r="M1156" s="302">
        <v>5.3027799617121429</v>
      </c>
      <c r="N1156" s="302">
        <v>0.56572166361737541</v>
      </c>
      <c r="O1156" s="302">
        <f t="shared" si="492"/>
        <v>9.2380169640317344</v>
      </c>
    </row>
    <row r="1157" spans="1:15" s="236" customFormat="1" x14ac:dyDescent="0.3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3">
      <c r="A1158" s="244" t="s">
        <v>32</v>
      </c>
      <c r="B1158" s="311">
        <f>SUM(B1148:B1156)</f>
        <v>345.5949999977297</v>
      </c>
      <c r="C1158" s="311">
        <f t="shared" ref="C1158:E1158" si="494">SUM(C1148:C1156)</f>
        <v>271.36899999552043</v>
      </c>
      <c r="D1158" s="311">
        <f t="shared" si="494"/>
        <v>55.568999996751316</v>
      </c>
      <c r="E1158" s="311">
        <f t="shared" si="494"/>
        <v>672.53299999000137</v>
      </c>
      <c r="F1158" s="311"/>
      <c r="G1158" s="311">
        <f t="shared" ref="G1158:J1158" si="495">SUM(G1148:G1156)</f>
        <v>342.92099999885977</v>
      </c>
      <c r="H1158" s="311">
        <f t="shared" si="495"/>
        <v>242.72199999676511</v>
      </c>
      <c r="I1158" s="311">
        <f t="shared" si="495"/>
        <v>50.391000003412053</v>
      </c>
      <c r="J1158" s="311">
        <f t="shared" si="495"/>
        <v>636.03399999903684</v>
      </c>
      <c r="K1158" s="311"/>
      <c r="L1158" s="311">
        <f t="shared" ref="L1158:O1158" si="496">SUM(L1148:L1156)</f>
        <v>436.68199999918011</v>
      </c>
      <c r="M1158" s="311">
        <f t="shared" si="496"/>
        <v>239.86699999910326</v>
      </c>
      <c r="N1158" s="311">
        <f t="shared" si="496"/>
        <v>59.706000000426961</v>
      </c>
      <c r="O1158" s="311">
        <f t="shared" si="496"/>
        <v>736.25499999871022</v>
      </c>
    </row>
    <row r="1159" spans="1:15" s="236" customFormat="1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3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3">
      <c r="A1162" s="241" t="str">
        <f>name!A71</f>
        <v>Social work</v>
      </c>
      <c r="B1162" s="375">
        <f>$B$6</f>
        <v>2015</v>
      </c>
      <c r="C1162" s="375"/>
      <c r="D1162" s="375"/>
      <c r="E1162" s="375"/>
      <c r="F1162" s="263"/>
      <c r="G1162" s="375">
        <f>$G$6</f>
        <v>2020</v>
      </c>
      <c r="H1162" s="375"/>
      <c r="I1162" s="375"/>
      <c r="J1162" s="375"/>
      <c r="K1162" s="263"/>
      <c r="L1162" s="375">
        <f>$L$6</f>
        <v>2035</v>
      </c>
      <c r="M1162" s="375"/>
      <c r="N1162" s="375"/>
      <c r="O1162" s="375"/>
    </row>
    <row r="1163" spans="1:15" s="236" customFormat="1" x14ac:dyDescent="0.3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3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3">
      <c r="A1165" s="237" t="str">
        <f>name!E$4</f>
        <v>Managers, directors and senior officials</v>
      </c>
      <c r="B1165" s="302">
        <v>21.933882311570827</v>
      </c>
      <c r="C1165" s="302">
        <v>8.7490135427292213</v>
      </c>
      <c r="D1165" s="302">
        <v>3.6502028768194563</v>
      </c>
      <c r="E1165" s="302">
        <f>SUM(B1165:D1165)</f>
        <v>34.333098731119506</v>
      </c>
      <c r="F1165" s="303"/>
      <c r="G1165" s="302">
        <v>21.424778066184338</v>
      </c>
      <c r="H1165" s="302">
        <v>10.856016494660683</v>
      </c>
      <c r="I1165" s="302">
        <v>3.4756418854813291</v>
      </c>
      <c r="J1165" s="302">
        <f>SUM(G1165:I1165)</f>
        <v>35.756436446326354</v>
      </c>
      <c r="K1165" s="303"/>
      <c r="L1165" s="302">
        <v>27.584819093713026</v>
      </c>
      <c r="M1165" s="302">
        <v>12.211512997452045</v>
      </c>
      <c r="N1165" s="302">
        <v>4.1739006915852848</v>
      </c>
      <c r="O1165" s="302">
        <f>SUM(L1165:N1165)</f>
        <v>43.970232782750358</v>
      </c>
    </row>
    <row r="1166" spans="1:15" s="236" customFormat="1" x14ac:dyDescent="0.3">
      <c r="A1166" s="237" t="str">
        <f>name!E$5</f>
        <v>Professional occupations</v>
      </c>
      <c r="B1166" s="302">
        <v>139.98444624834806</v>
      </c>
      <c r="C1166" s="302">
        <v>87.559937270787501</v>
      </c>
      <c r="D1166" s="302">
        <v>22.878341975438296</v>
      </c>
      <c r="E1166" s="302">
        <f t="shared" ref="E1166:E1173" si="497">SUM(B1166:D1166)</f>
        <v>250.42272549457388</v>
      </c>
      <c r="F1166" s="303"/>
      <c r="G1166" s="302">
        <v>145.14500969692412</v>
      </c>
      <c r="H1166" s="302">
        <v>93.709581225692546</v>
      </c>
      <c r="I1166" s="302">
        <v>22.820452837681668</v>
      </c>
      <c r="J1166" s="302">
        <f t="shared" ref="J1166:J1168" si="498">SUM(G1166:I1166)</f>
        <v>261.67504376029831</v>
      </c>
      <c r="K1166" s="303"/>
      <c r="L1166" s="302">
        <v>190.01129671489747</v>
      </c>
      <c r="M1166" s="302">
        <v>103.60037924742053</v>
      </c>
      <c r="N1166" s="302">
        <v>27.03829048938022</v>
      </c>
      <c r="O1166" s="302">
        <f t="shared" ref="O1166:O1173" si="499">SUM(L1166:N1166)</f>
        <v>320.64996645169828</v>
      </c>
    </row>
    <row r="1167" spans="1:15" s="236" customFormat="1" x14ac:dyDescent="0.3">
      <c r="A1167" s="237" t="str">
        <f>name!E$6</f>
        <v>Associate professional occupations</v>
      </c>
      <c r="B1167" s="302">
        <v>55.881188149934495</v>
      </c>
      <c r="C1167" s="302">
        <v>45.589299728415476</v>
      </c>
      <c r="D1167" s="302">
        <v>10.78280133806094</v>
      </c>
      <c r="E1167" s="302">
        <f t="shared" si="497"/>
        <v>112.25328921641091</v>
      </c>
      <c r="F1167" s="303"/>
      <c r="G1167" s="302">
        <v>56.479432664953109</v>
      </c>
      <c r="H1167" s="302">
        <v>48.555937913925092</v>
      </c>
      <c r="I1167" s="302">
        <v>8.4417049803769455</v>
      </c>
      <c r="J1167" s="302">
        <f t="shared" si="498"/>
        <v>113.47707555925514</v>
      </c>
      <c r="K1167" s="303"/>
      <c r="L1167" s="302">
        <v>67.179668681777457</v>
      </c>
      <c r="M1167" s="302">
        <v>47.892927304636522</v>
      </c>
      <c r="N1167" s="302">
        <v>10.842242479124451</v>
      </c>
      <c r="O1167" s="302">
        <f t="shared" si="499"/>
        <v>125.91483846553842</v>
      </c>
    </row>
    <row r="1168" spans="1:15" s="236" customFormat="1" x14ac:dyDescent="0.3">
      <c r="A1168" s="237" t="str">
        <f>name!E$7</f>
        <v>Administrative and secretarial occupations</v>
      </c>
      <c r="B1168" s="302">
        <v>32.595302692300031</v>
      </c>
      <c r="C1168" s="302">
        <v>48.59371224310118</v>
      </c>
      <c r="D1168" s="302">
        <v>2.6022409296726163</v>
      </c>
      <c r="E1168" s="302">
        <f t="shared" si="497"/>
        <v>83.791255865073836</v>
      </c>
      <c r="F1168" s="303"/>
      <c r="G1168" s="302">
        <v>27.619140855469421</v>
      </c>
      <c r="H1168" s="302">
        <v>41.465766197084584</v>
      </c>
      <c r="I1168" s="302">
        <v>1.5642785344014896</v>
      </c>
      <c r="J1168" s="302">
        <f t="shared" si="498"/>
        <v>70.649185586955497</v>
      </c>
      <c r="K1168" s="303"/>
      <c r="L1168" s="302">
        <v>23.580560015496275</v>
      </c>
      <c r="M1168" s="302">
        <v>22.166061223102638</v>
      </c>
      <c r="N1168" s="302">
        <v>0.91076935023856775</v>
      </c>
      <c r="O1168" s="302">
        <f t="shared" si="499"/>
        <v>46.65739058883748</v>
      </c>
    </row>
    <row r="1169" spans="1:15" s="236" customFormat="1" x14ac:dyDescent="0.3">
      <c r="A1169" s="237" t="str">
        <f>name!E$8</f>
        <v>Skilled trades occupations</v>
      </c>
      <c r="B1169" s="302">
        <v>3.9241422569691773</v>
      </c>
      <c r="C1169" s="302">
        <v>5.1823464927897636</v>
      </c>
      <c r="D1169" s="302">
        <v>1.0889904886865283</v>
      </c>
      <c r="E1169" s="302">
        <f t="shared" si="497"/>
        <v>10.19547923844547</v>
      </c>
      <c r="F1169" s="303"/>
      <c r="G1169" s="302">
        <v>2.5987594479631517</v>
      </c>
      <c r="H1169" s="302">
        <v>3.4666411781901862</v>
      </c>
      <c r="I1169" s="302">
        <v>0.86671950285329069</v>
      </c>
      <c r="J1169" s="302">
        <f>SUM(G1169:I1169)</f>
        <v>6.9321201290066279</v>
      </c>
      <c r="K1169" s="303"/>
      <c r="L1169" s="302">
        <v>1.8500609960943528</v>
      </c>
      <c r="M1169" s="302">
        <v>2.576356128495084</v>
      </c>
      <c r="N1169" s="302">
        <v>1.064091370111621</v>
      </c>
      <c r="O1169" s="302">
        <f t="shared" si="499"/>
        <v>5.4905084947010572</v>
      </c>
    </row>
    <row r="1170" spans="1:15" s="236" customFormat="1" x14ac:dyDescent="0.3">
      <c r="A1170" s="237" t="str">
        <f>name!E$9</f>
        <v>Caring, leisure and other service occupations</v>
      </c>
      <c r="B1170" s="302">
        <v>134.68630754393951</v>
      </c>
      <c r="C1170" s="302">
        <v>147.1952932429314</v>
      </c>
      <c r="D1170" s="302">
        <v>24.768254043919775</v>
      </c>
      <c r="E1170" s="302">
        <f t="shared" si="497"/>
        <v>306.64985483079067</v>
      </c>
      <c r="F1170" s="303"/>
      <c r="G1170" s="302">
        <v>121.89005523023651</v>
      </c>
      <c r="H1170" s="302">
        <v>132.97046517689381</v>
      </c>
      <c r="I1170" s="302">
        <v>23.308478325977241</v>
      </c>
      <c r="J1170" s="302">
        <f t="shared" ref="J1170:J1173" si="500">SUM(G1170:I1170)</f>
        <v>278.16899873310757</v>
      </c>
      <c r="K1170" s="303"/>
      <c r="L1170" s="302">
        <v>161.70231074939002</v>
      </c>
      <c r="M1170" s="302">
        <v>141.31521248733532</v>
      </c>
      <c r="N1170" s="302">
        <v>26.49532768731406</v>
      </c>
      <c r="O1170" s="302">
        <f t="shared" si="499"/>
        <v>329.51285092403936</v>
      </c>
    </row>
    <row r="1171" spans="1:15" s="236" customFormat="1" x14ac:dyDescent="0.3">
      <c r="A1171" s="237" t="str">
        <f>name!E$10</f>
        <v>Sales and customer service occupations</v>
      </c>
      <c r="B1171" s="302">
        <v>4.7942461069046347</v>
      </c>
      <c r="C1171" s="302">
        <v>6.4132763057184983</v>
      </c>
      <c r="D1171" s="302">
        <v>0.82591371050369367</v>
      </c>
      <c r="E1171" s="302">
        <f t="shared" si="497"/>
        <v>12.033436123126826</v>
      </c>
      <c r="F1171" s="303"/>
      <c r="G1171" s="302">
        <v>4.05323886983523</v>
      </c>
      <c r="H1171" s="302">
        <v>5.3618704376478847</v>
      </c>
      <c r="I1171" s="302">
        <v>0.44621910932698933</v>
      </c>
      <c r="J1171" s="302">
        <f t="shared" si="500"/>
        <v>9.8613284168101032</v>
      </c>
      <c r="K1171" s="303"/>
      <c r="L1171" s="302">
        <v>4.8993228608402699</v>
      </c>
      <c r="M1171" s="302">
        <v>5.4505920544452007</v>
      </c>
      <c r="N1171" s="302">
        <v>0.66685077865421538</v>
      </c>
      <c r="O1171" s="302">
        <f t="shared" si="499"/>
        <v>11.016765693939686</v>
      </c>
    </row>
    <row r="1172" spans="1:15" s="236" customFormat="1" x14ac:dyDescent="0.3">
      <c r="A1172" s="237" t="str">
        <f>name!E$11</f>
        <v>Process, plant and machine operatives</v>
      </c>
      <c r="B1172" s="302">
        <v>1.2394465564827055</v>
      </c>
      <c r="C1172" s="302">
        <v>3.9536283629726863</v>
      </c>
      <c r="D1172" s="302">
        <v>0.19577897801266081</v>
      </c>
      <c r="E1172" s="302">
        <f t="shared" si="497"/>
        <v>5.3888538974680529</v>
      </c>
      <c r="F1172" s="303"/>
      <c r="G1172" s="302">
        <v>0.81081709451974893</v>
      </c>
      <c r="H1172" s="302">
        <v>2.9634500982392096</v>
      </c>
      <c r="I1172" s="302">
        <v>0.1785198473649931</v>
      </c>
      <c r="J1172" s="302">
        <f t="shared" si="500"/>
        <v>3.9527870401239515</v>
      </c>
      <c r="K1172" s="303"/>
      <c r="L1172" s="302">
        <v>0.52989691698803998</v>
      </c>
      <c r="M1172" s="302">
        <v>2.36269917348333</v>
      </c>
      <c r="N1172" s="302">
        <v>0.19042666917191547</v>
      </c>
      <c r="O1172" s="302">
        <f t="shared" si="499"/>
        <v>3.0830227596432858</v>
      </c>
    </row>
    <row r="1173" spans="1:15" s="236" customFormat="1" x14ac:dyDescent="0.3">
      <c r="A1173" s="237" t="str">
        <f>name!E$12</f>
        <v>Elementary occupations</v>
      </c>
      <c r="B1173" s="302">
        <v>5.5470381308114831</v>
      </c>
      <c r="C1173" s="302">
        <v>21.073492804168698</v>
      </c>
      <c r="D1173" s="302">
        <v>0.88147565509008829</v>
      </c>
      <c r="E1173" s="302">
        <f t="shared" si="497"/>
        <v>27.50200659007027</v>
      </c>
      <c r="F1173" s="303"/>
      <c r="G1173" s="302">
        <v>3.9587680730808898</v>
      </c>
      <c r="H1173" s="302">
        <v>14.119271272803701</v>
      </c>
      <c r="I1173" s="302">
        <v>0.43298498078068642</v>
      </c>
      <c r="J1173" s="302">
        <f t="shared" si="500"/>
        <v>18.511024326665279</v>
      </c>
      <c r="K1173" s="303"/>
      <c r="L1173" s="302">
        <v>3.2960639702698566</v>
      </c>
      <c r="M1173" s="302">
        <v>7.3192593822686458</v>
      </c>
      <c r="N1173" s="302">
        <v>0.60510048513101211</v>
      </c>
      <c r="O1173" s="302">
        <f t="shared" si="499"/>
        <v>11.220423837669516</v>
      </c>
    </row>
    <row r="1174" spans="1:15" s="236" customFormat="1" x14ac:dyDescent="0.3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3">
      <c r="A1175" s="244" t="s">
        <v>32</v>
      </c>
      <c r="B1175" s="311">
        <f>SUM(B1165:B1173)</f>
        <v>400.58599999726096</v>
      </c>
      <c r="C1175" s="311">
        <f t="shared" ref="C1175:E1175" si="501">SUM(C1165:C1173)</f>
        <v>374.30999999361444</v>
      </c>
      <c r="D1175" s="311">
        <f t="shared" si="501"/>
        <v>67.67399999620406</v>
      </c>
      <c r="E1175" s="311">
        <f t="shared" si="501"/>
        <v>842.56999998707954</v>
      </c>
      <c r="F1175" s="311"/>
      <c r="G1175" s="311">
        <f t="shared" ref="G1175:J1175" si="502">SUM(G1165:G1173)</f>
        <v>383.97999999916652</v>
      </c>
      <c r="H1175" s="311">
        <f t="shared" si="502"/>
        <v>353.46899999513766</v>
      </c>
      <c r="I1175" s="311">
        <f t="shared" si="502"/>
        <v>61.535000004244637</v>
      </c>
      <c r="J1175" s="311">
        <f t="shared" si="502"/>
        <v>798.98399999854894</v>
      </c>
      <c r="K1175" s="311"/>
      <c r="L1175" s="311">
        <f t="shared" ref="L1175:O1175" si="503">SUM(L1165:L1173)</f>
        <v>480.63399999946682</v>
      </c>
      <c r="M1175" s="311">
        <f t="shared" si="503"/>
        <v>344.89499999863938</v>
      </c>
      <c r="N1175" s="311">
        <f t="shared" si="503"/>
        <v>71.987000000711348</v>
      </c>
      <c r="O1175" s="311">
        <f t="shared" si="503"/>
        <v>897.51599999881739</v>
      </c>
    </row>
    <row r="1176" spans="1:15" s="236" customFormat="1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3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3">
      <c r="A1179" s="241" t="str">
        <f>name!A72</f>
        <v>Arts and entertainment</v>
      </c>
      <c r="B1179" s="375">
        <f>$B$6</f>
        <v>2015</v>
      </c>
      <c r="C1179" s="375"/>
      <c r="D1179" s="375"/>
      <c r="E1179" s="375"/>
      <c r="F1179" s="263"/>
      <c r="G1179" s="375">
        <f>$G$6</f>
        <v>2020</v>
      </c>
      <c r="H1179" s="375"/>
      <c r="I1179" s="375"/>
      <c r="J1179" s="375"/>
      <c r="K1179" s="263"/>
      <c r="L1179" s="375">
        <f>$L$6</f>
        <v>2035</v>
      </c>
      <c r="M1179" s="375"/>
      <c r="N1179" s="375"/>
      <c r="O1179" s="375"/>
    </row>
    <row r="1180" spans="1:15" s="236" customFormat="1" x14ac:dyDescent="0.3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3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3">
      <c r="A1182" s="237" t="str">
        <f>name!E$4</f>
        <v>Managers, directors and senior officials</v>
      </c>
      <c r="B1182" s="302">
        <v>7.1412048789135394</v>
      </c>
      <c r="C1182" s="302">
        <v>1.5510743139338705</v>
      </c>
      <c r="D1182" s="302">
        <v>5.1779542181114904</v>
      </c>
      <c r="E1182" s="302">
        <f>SUM(B1182:D1182)</f>
        <v>13.8702334109589</v>
      </c>
      <c r="F1182" s="303"/>
      <c r="G1182" s="302">
        <v>8.2292673207968896</v>
      </c>
      <c r="H1182" s="302">
        <v>2.6478194850288941</v>
      </c>
      <c r="I1182" s="302">
        <v>7.1543646524066622</v>
      </c>
      <c r="J1182" s="302">
        <f>SUM(G1182:I1182)</f>
        <v>18.031451458232446</v>
      </c>
      <c r="K1182" s="303"/>
      <c r="L1182" s="302">
        <v>8.6489666163233689</v>
      </c>
      <c r="M1182" s="302">
        <v>3.6511264926196163</v>
      </c>
      <c r="N1182" s="302">
        <v>8.4083831671886617</v>
      </c>
      <c r="O1182" s="302">
        <f>SUM(L1182:N1182)</f>
        <v>20.708476276131648</v>
      </c>
    </row>
    <row r="1183" spans="1:15" s="236" customFormat="1" x14ac:dyDescent="0.3">
      <c r="A1183" s="237" t="str">
        <f>name!E$5</f>
        <v>Professional occupations</v>
      </c>
      <c r="B1183" s="302">
        <v>9.9369548335000619</v>
      </c>
      <c r="C1183" s="302">
        <v>3.3604009449650794</v>
      </c>
      <c r="D1183" s="302">
        <v>15.046939928616506</v>
      </c>
      <c r="E1183" s="302">
        <f t="shared" ref="E1183:E1190" si="504">SUM(B1183:D1183)</f>
        <v>28.344295707081649</v>
      </c>
      <c r="F1183" s="303"/>
      <c r="G1183" s="302">
        <v>13.065908841473188</v>
      </c>
      <c r="H1183" s="302">
        <v>5.5187312455810114</v>
      </c>
      <c r="I1183" s="302">
        <v>17.133705377417694</v>
      </c>
      <c r="J1183" s="302">
        <f t="shared" ref="J1183:J1185" si="505">SUM(G1183:I1183)</f>
        <v>35.718345464471895</v>
      </c>
      <c r="K1183" s="303"/>
      <c r="L1183" s="302">
        <v>14.284313054360132</v>
      </c>
      <c r="M1183" s="302">
        <v>7.4949581675044641</v>
      </c>
      <c r="N1183" s="302">
        <v>14.471809649165992</v>
      </c>
      <c r="O1183" s="302">
        <f t="shared" ref="O1183:O1190" si="506">SUM(L1183:N1183)</f>
        <v>36.251080871030588</v>
      </c>
    </row>
    <row r="1184" spans="1:15" s="236" customFormat="1" x14ac:dyDescent="0.3">
      <c r="A1184" s="237" t="str">
        <f>name!E$6</f>
        <v>Associate professional occupations</v>
      </c>
      <c r="B1184" s="302">
        <v>12.129384659007838</v>
      </c>
      <c r="C1184" s="302">
        <v>6.013225868790494</v>
      </c>
      <c r="D1184" s="302">
        <v>43.506328327608301</v>
      </c>
      <c r="E1184" s="302">
        <f t="shared" si="504"/>
        <v>61.648938855406634</v>
      </c>
      <c r="F1184" s="303"/>
      <c r="G1184" s="302">
        <v>13.260762279174678</v>
      </c>
      <c r="H1184" s="302">
        <v>7.8344656580209522</v>
      </c>
      <c r="I1184" s="302">
        <v>55.551876325960926</v>
      </c>
      <c r="J1184" s="302">
        <f t="shared" si="505"/>
        <v>76.647104263156564</v>
      </c>
      <c r="K1184" s="303"/>
      <c r="L1184" s="302">
        <v>13.267771796370679</v>
      </c>
      <c r="M1184" s="302">
        <v>8.70260203284308</v>
      </c>
      <c r="N1184" s="302">
        <v>55.134340907266584</v>
      </c>
      <c r="O1184" s="302">
        <f t="shared" si="506"/>
        <v>77.104714736480346</v>
      </c>
    </row>
    <row r="1185" spans="1:15" s="236" customFormat="1" x14ac:dyDescent="0.3">
      <c r="A1185" s="237" t="str">
        <f>name!E$7</f>
        <v>Administrative and secretarial occupations</v>
      </c>
      <c r="B1185" s="302">
        <v>5.1812185303842915</v>
      </c>
      <c r="C1185" s="302">
        <v>6.257103995985914</v>
      </c>
      <c r="D1185" s="302">
        <v>0.96296864260171156</v>
      </c>
      <c r="E1185" s="302">
        <f t="shared" si="504"/>
        <v>12.401291168971918</v>
      </c>
      <c r="F1185" s="303"/>
      <c r="G1185" s="302">
        <v>5.6685243553587075</v>
      </c>
      <c r="H1185" s="302">
        <v>7.8666428324274857</v>
      </c>
      <c r="I1185" s="302">
        <v>1.3469167479218278</v>
      </c>
      <c r="J1185" s="302">
        <f t="shared" si="505"/>
        <v>14.882083935708021</v>
      </c>
      <c r="K1185" s="303"/>
      <c r="L1185" s="302">
        <v>4.1763749288271637</v>
      </c>
      <c r="M1185" s="302">
        <v>6.7592488281988778</v>
      </c>
      <c r="N1185" s="302">
        <v>0.91688941146187142</v>
      </c>
      <c r="O1185" s="302">
        <f t="shared" si="506"/>
        <v>11.852513168487913</v>
      </c>
    </row>
    <row r="1186" spans="1:15" s="236" customFormat="1" x14ac:dyDescent="0.3">
      <c r="A1186" s="237" t="str">
        <f>name!E$8</f>
        <v>Skilled trades occupations</v>
      </c>
      <c r="B1186" s="302">
        <v>4.1917567213018794</v>
      </c>
      <c r="C1186" s="302">
        <v>1.1122466104778221</v>
      </c>
      <c r="D1186" s="302">
        <v>6.099604147580135</v>
      </c>
      <c r="E1186" s="302">
        <f t="shared" si="504"/>
        <v>11.403607479359836</v>
      </c>
      <c r="F1186" s="303"/>
      <c r="G1186" s="302">
        <v>3.5661979300513571</v>
      </c>
      <c r="H1186" s="302">
        <v>1.375811426652388</v>
      </c>
      <c r="I1186" s="302">
        <v>7.8646649333333896</v>
      </c>
      <c r="J1186" s="302">
        <f>SUM(G1186:I1186)</f>
        <v>12.806674290037135</v>
      </c>
      <c r="K1186" s="303"/>
      <c r="L1186" s="302">
        <v>2.8892260213122918</v>
      </c>
      <c r="M1186" s="302">
        <v>1.9127179913396981</v>
      </c>
      <c r="N1186" s="302">
        <v>9.0493922922634109</v>
      </c>
      <c r="O1186" s="302">
        <f t="shared" si="506"/>
        <v>13.851336304915401</v>
      </c>
    </row>
    <row r="1187" spans="1:15" s="236" customFormat="1" x14ac:dyDescent="0.3">
      <c r="A1187" s="237" t="str">
        <f>name!E$9</f>
        <v>Caring, leisure and other service occupations</v>
      </c>
      <c r="B1187" s="302">
        <v>3.1545968580335728</v>
      </c>
      <c r="C1187" s="302">
        <v>3.6063908051017952</v>
      </c>
      <c r="D1187" s="302">
        <v>1.0676594188703943</v>
      </c>
      <c r="E1187" s="302">
        <f t="shared" si="504"/>
        <v>7.8286470820057623</v>
      </c>
      <c r="F1187" s="303"/>
      <c r="G1187" s="302">
        <v>3.0737573353494345</v>
      </c>
      <c r="H1187" s="302">
        <v>4.3139445672197949</v>
      </c>
      <c r="I1187" s="302">
        <v>1.8323792273387098</v>
      </c>
      <c r="J1187" s="302">
        <f t="shared" ref="J1187:J1190" si="507">SUM(G1187:I1187)</f>
        <v>9.220081129907939</v>
      </c>
      <c r="K1187" s="303"/>
      <c r="L1187" s="302">
        <v>2.6762224145818307</v>
      </c>
      <c r="M1187" s="302">
        <v>4.3945298212288595</v>
      </c>
      <c r="N1187" s="302">
        <v>2.0211148998085928</v>
      </c>
      <c r="O1187" s="302">
        <f t="shared" si="506"/>
        <v>9.0918671356192835</v>
      </c>
    </row>
    <row r="1188" spans="1:15" s="236" customFormat="1" x14ac:dyDescent="0.3">
      <c r="A1188" s="237" t="str">
        <f>name!E$10</f>
        <v>Sales and customer service occupations</v>
      </c>
      <c r="B1188" s="302">
        <v>2.4384366988120365</v>
      </c>
      <c r="C1188" s="302">
        <v>2.373997080394818</v>
      </c>
      <c r="D1188" s="302">
        <v>1.1194844083728033</v>
      </c>
      <c r="E1188" s="302">
        <f t="shared" si="504"/>
        <v>5.9319181875796572</v>
      </c>
      <c r="F1188" s="303"/>
      <c r="G1188" s="302">
        <v>2.6452741197126426</v>
      </c>
      <c r="H1188" s="302">
        <v>3.2340616900207118</v>
      </c>
      <c r="I1188" s="302">
        <v>1.0946662227801229</v>
      </c>
      <c r="J1188" s="302">
        <f t="shared" si="507"/>
        <v>6.9740020325134768</v>
      </c>
      <c r="K1188" s="303"/>
      <c r="L1188" s="302">
        <v>2.3210440973647781</v>
      </c>
      <c r="M1188" s="302">
        <v>3.3491154911059757</v>
      </c>
      <c r="N1188" s="302">
        <v>1.0161369910178422</v>
      </c>
      <c r="O1188" s="302">
        <f t="shared" si="506"/>
        <v>6.6862965794885962</v>
      </c>
    </row>
    <row r="1189" spans="1:15" s="236" customFormat="1" x14ac:dyDescent="0.3">
      <c r="A1189" s="237" t="str">
        <f>name!E$11</f>
        <v>Process, plant and machine operatives</v>
      </c>
      <c r="B1189" s="302">
        <v>0.40845536723189729</v>
      </c>
      <c r="C1189" s="302">
        <v>0.23628827390617604</v>
      </c>
      <c r="D1189" s="302">
        <v>0.28164435637203089</v>
      </c>
      <c r="E1189" s="302">
        <f t="shared" si="504"/>
        <v>0.92638799751010426</v>
      </c>
      <c r="F1189" s="303"/>
      <c r="G1189" s="302">
        <v>0.30395953805518361</v>
      </c>
      <c r="H1189" s="302">
        <v>0.36384998050469713</v>
      </c>
      <c r="I1189" s="302">
        <v>0.36894827660401053</v>
      </c>
      <c r="J1189" s="302">
        <f t="shared" si="507"/>
        <v>1.0367577951638913</v>
      </c>
      <c r="K1189" s="303"/>
      <c r="L1189" s="302">
        <v>0.2553365298057147</v>
      </c>
      <c r="M1189" s="302">
        <v>0.44330321834270264</v>
      </c>
      <c r="N1189" s="302">
        <v>0.40859557944865105</v>
      </c>
      <c r="O1189" s="302">
        <f t="shared" si="506"/>
        <v>1.1072353275970683</v>
      </c>
    </row>
    <row r="1190" spans="1:15" s="236" customFormat="1" x14ac:dyDescent="0.3">
      <c r="A1190" s="237" t="str">
        <f>name!E$12</f>
        <v>Elementary occupations</v>
      </c>
      <c r="B1190" s="302">
        <v>1.6939914524914539</v>
      </c>
      <c r="C1190" s="302">
        <v>6.1182721065998944</v>
      </c>
      <c r="D1190" s="302">
        <v>0.64841655350873184</v>
      </c>
      <c r="E1190" s="302">
        <f t="shared" si="504"/>
        <v>8.4606801126000803</v>
      </c>
      <c r="F1190" s="303"/>
      <c r="G1190" s="302">
        <v>1.3873482799837709</v>
      </c>
      <c r="H1190" s="302">
        <v>6.4096731146028771</v>
      </c>
      <c r="I1190" s="302">
        <v>0.65947823694853036</v>
      </c>
      <c r="J1190" s="302">
        <f t="shared" si="507"/>
        <v>8.4564996315351788</v>
      </c>
      <c r="K1190" s="303"/>
      <c r="L1190" s="302">
        <v>1.0367445412078615</v>
      </c>
      <c r="M1190" s="302">
        <v>4.2363979567134784</v>
      </c>
      <c r="N1190" s="302">
        <v>0.67733710516190637</v>
      </c>
      <c r="O1190" s="302">
        <f t="shared" si="506"/>
        <v>5.9504796030832461</v>
      </c>
    </row>
    <row r="1191" spans="1:15" s="236" customFormat="1" x14ac:dyDescent="0.3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3">
      <c r="A1192" s="244" t="s">
        <v>32</v>
      </c>
      <c r="B1192" s="311">
        <f>SUM(B1182:B1190)</f>
        <v>46.275999999676564</v>
      </c>
      <c r="C1192" s="311">
        <f t="shared" ref="C1192:E1192" si="508">SUM(C1182:C1190)</f>
        <v>30.629000000155862</v>
      </c>
      <c r="D1192" s="311">
        <f t="shared" si="508"/>
        <v>73.911000001642108</v>
      </c>
      <c r="E1192" s="311">
        <f t="shared" si="508"/>
        <v>150.81600000147452</v>
      </c>
      <c r="F1192" s="311"/>
      <c r="G1192" s="311">
        <f t="shared" ref="G1192:J1192" si="509">SUM(G1182:G1190)</f>
        <v>51.200999999955847</v>
      </c>
      <c r="H1192" s="311">
        <f t="shared" si="509"/>
        <v>39.565000000058809</v>
      </c>
      <c r="I1192" s="311">
        <f t="shared" si="509"/>
        <v>93.007000000711869</v>
      </c>
      <c r="J1192" s="311">
        <f t="shared" si="509"/>
        <v>183.77300000072654</v>
      </c>
      <c r="K1192" s="311"/>
      <c r="L1192" s="311">
        <f t="shared" ref="L1192:O1192" si="510">SUM(L1182:L1190)</f>
        <v>49.556000000153816</v>
      </c>
      <c r="M1192" s="311">
        <f t="shared" si="510"/>
        <v>40.943999999896761</v>
      </c>
      <c r="N1192" s="311">
        <f t="shared" si="510"/>
        <v>92.104000002783522</v>
      </c>
      <c r="O1192" s="311">
        <f t="shared" si="510"/>
        <v>182.60400000283408</v>
      </c>
    </row>
    <row r="1193" spans="1:15" s="236" customFormat="1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3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3">
      <c r="A1196" s="241" t="str">
        <f>name!A73</f>
        <v>Libraries, etc</v>
      </c>
      <c r="B1196" s="375">
        <f>$B$6</f>
        <v>2015</v>
      </c>
      <c r="C1196" s="375"/>
      <c r="D1196" s="375"/>
      <c r="E1196" s="375"/>
      <c r="F1196" s="263"/>
      <c r="G1196" s="375">
        <f>$G$6</f>
        <v>2020</v>
      </c>
      <c r="H1196" s="375"/>
      <c r="I1196" s="375"/>
      <c r="J1196" s="375"/>
      <c r="K1196" s="263"/>
      <c r="L1196" s="375">
        <f>$L$6</f>
        <v>2035</v>
      </c>
      <c r="M1196" s="375"/>
      <c r="N1196" s="375"/>
      <c r="O1196" s="375"/>
    </row>
    <row r="1197" spans="1:15" s="236" customFormat="1" x14ac:dyDescent="0.3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3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3">
      <c r="A1199" s="237" t="str">
        <f>name!E$4</f>
        <v>Managers, directors and senior officials</v>
      </c>
      <c r="B1199" s="302">
        <v>7.8365644351816659</v>
      </c>
      <c r="C1199" s="302">
        <v>2.5920721973475231</v>
      </c>
      <c r="D1199" s="302">
        <v>4.850394423533908</v>
      </c>
      <c r="E1199" s="302">
        <f>SUM(B1199:D1199)</f>
        <v>15.279031056063097</v>
      </c>
      <c r="F1199" s="303"/>
      <c r="G1199" s="302">
        <v>6.5374049437713619</v>
      </c>
      <c r="H1199" s="302">
        <v>4.0839367029440306</v>
      </c>
      <c r="I1199" s="302">
        <v>5.914279691235599</v>
      </c>
      <c r="J1199" s="302">
        <f>SUM(G1199:I1199)</f>
        <v>16.535621337950992</v>
      </c>
      <c r="K1199" s="303"/>
      <c r="L1199" s="302">
        <v>7.0686013255383946</v>
      </c>
      <c r="M1199" s="302">
        <v>5.7993714429423049</v>
      </c>
      <c r="N1199" s="302">
        <v>6.7516548815239386</v>
      </c>
      <c r="O1199" s="302">
        <f>SUM(L1199:N1199)</f>
        <v>19.619627650004638</v>
      </c>
    </row>
    <row r="1200" spans="1:15" s="236" customFormat="1" x14ac:dyDescent="0.3">
      <c r="A1200" s="237" t="str">
        <f>name!E$5</f>
        <v>Professional occupations</v>
      </c>
      <c r="B1200" s="302">
        <v>9.0479203322099018</v>
      </c>
      <c r="C1200" s="302">
        <v>3.5081921365716955</v>
      </c>
      <c r="D1200" s="302">
        <v>14.304829907835336</v>
      </c>
      <c r="E1200" s="302">
        <f t="shared" ref="E1200:E1207" si="511">SUM(B1200:D1200)</f>
        <v>26.860942376616933</v>
      </c>
      <c r="F1200" s="303"/>
      <c r="G1200" s="302">
        <v>9.3129789289150935</v>
      </c>
      <c r="H1200" s="302">
        <v>5.5447227235232068</v>
      </c>
      <c r="I1200" s="302">
        <v>14.544586215919685</v>
      </c>
      <c r="J1200" s="302">
        <f t="shared" ref="J1200:J1202" si="512">SUM(G1200:I1200)</f>
        <v>29.402287868357988</v>
      </c>
      <c r="K1200" s="303"/>
      <c r="L1200" s="302">
        <v>10.053661331682557</v>
      </c>
      <c r="M1200" s="302">
        <v>6.9953200367544781</v>
      </c>
      <c r="N1200" s="302">
        <v>12.274816744940864</v>
      </c>
      <c r="O1200" s="302">
        <f t="shared" ref="O1200:O1207" si="513">SUM(L1200:N1200)</f>
        <v>29.323798113377897</v>
      </c>
    </row>
    <row r="1201" spans="1:15" s="236" customFormat="1" x14ac:dyDescent="0.3">
      <c r="A1201" s="237" t="str">
        <f>name!E$6</f>
        <v>Associate professional occupations</v>
      </c>
      <c r="B1201" s="302">
        <v>11.080357588991864</v>
      </c>
      <c r="C1201" s="302">
        <v>5.9293431105081202</v>
      </c>
      <c r="D1201" s="302">
        <v>42.976867582606623</v>
      </c>
      <c r="E1201" s="302">
        <f t="shared" si="511"/>
        <v>59.986568282106603</v>
      </c>
      <c r="F1201" s="303"/>
      <c r="G1201" s="302">
        <v>9.4686920839194819</v>
      </c>
      <c r="H1201" s="302">
        <v>7.4544594318088881</v>
      </c>
      <c r="I1201" s="302">
        <v>48.777860610365899</v>
      </c>
      <c r="J1201" s="302">
        <f t="shared" si="512"/>
        <v>65.70101212609427</v>
      </c>
      <c r="K1201" s="303"/>
      <c r="L1201" s="302">
        <v>9.3619501109736234</v>
      </c>
      <c r="M1201" s="302">
        <v>7.9208991023600523</v>
      </c>
      <c r="N1201" s="302">
        <v>48.606165690986195</v>
      </c>
      <c r="O1201" s="302">
        <f t="shared" si="513"/>
        <v>65.889014904319879</v>
      </c>
    </row>
    <row r="1202" spans="1:15" s="236" customFormat="1" x14ac:dyDescent="0.3">
      <c r="A1202" s="237" t="str">
        <f>name!E$7</f>
        <v>Administrative and secretarial occupations</v>
      </c>
      <c r="B1202" s="302">
        <v>5.5164677547994483</v>
      </c>
      <c r="C1202" s="302">
        <v>9.1527817177876933</v>
      </c>
      <c r="D1202" s="302">
        <v>1.2032907295093034</v>
      </c>
      <c r="E1202" s="302">
        <f t="shared" si="511"/>
        <v>15.872540202096445</v>
      </c>
      <c r="F1202" s="303"/>
      <c r="G1202" s="302">
        <v>4.1405768476915847</v>
      </c>
      <c r="H1202" s="302">
        <v>10.307850828775491</v>
      </c>
      <c r="I1202" s="302">
        <v>1.3746668311332748</v>
      </c>
      <c r="J1202" s="302">
        <f t="shared" si="512"/>
        <v>15.823094507600352</v>
      </c>
      <c r="K1202" s="303"/>
      <c r="L1202" s="302">
        <v>3.0536664755853082</v>
      </c>
      <c r="M1202" s="302">
        <v>8.4747280133406768</v>
      </c>
      <c r="N1202" s="302">
        <v>0.87513546466931857</v>
      </c>
      <c r="O1202" s="302">
        <f t="shared" si="513"/>
        <v>12.403529953595303</v>
      </c>
    </row>
    <row r="1203" spans="1:15" s="236" customFormat="1" x14ac:dyDescent="0.3">
      <c r="A1203" s="237" t="str">
        <f>name!E$8</f>
        <v>Skilled trades occupations</v>
      </c>
      <c r="B1203" s="302">
        <v>5.1146438186921754</v>
      </c>
      <c r="C1203" s="302">
        <v>1.464864836689646</v>
      </c>
      <c r="D1203" s="302">
        <v>6.720214368848346</v>
      </c>
      <c r="E1203" s="302">
        <f t="shared" si="511"/>
        <v>13.299723024230168</v>
      </c>
      <c r="F1203" s="303"/>
      <c r="G1203" s="302">
        <v>2.9647718994553824</v>
      </c>
      <c r="H1203" s="302">
        <v>1.6812452554705186</v>
      </c>
      <c r="I1203" s="302">
        <v>7.5738465464541624</v>
      </c>
      <c r="J1203" s="302">
        <f>SUM(G1203:I1203)</f>
        <v>12.219863701380064</v>
      </c>
      <c r="K1203" s="303"/>
      <c r="L1203" s="302">
        <v>2.4425506136291841</v>
      </c>
      <c r="M1203" s="302">
        <v>2.5248771867052593</v>
      </c>
      <c r="N1203" s="302">
        <v>8.7516395365529238</v>
      </c>
      <c r="O1203" s="302">
        <f t="shared" si="513"/>
        <v>13.719067336887367</v>
      </c>
    </row>
    <row r="1204" spans="1:15" s="236" customFormat="1" x14ac:dyDescent="0.3">
      <c r="A1204" s="237" t="str">
        <f>name!E$9</f>
        <v>Caring, leisure and other service occupations</v>
      </c>
      <c r="B1204" s="302">
        <v>3.5376092709741638</v>
      </c>
      <c r="C1204" s="302">
        <v>5.1539157925656598</v>
      </c>
      <c r="D1204" s="302">
        <v>1.2852252105577677</v>
      </c>
      <c r="E1204" s="302">
        <f t="shared" si="511"/>
        <v>9.9767502740975917</v>
      </c>
      <c r="F1204" s="303"/>
      <c r="G1204" s="302">
        <v>2.3827750439072983</v>
      </c>
      <c r="H1204" s="302">
        <v>5.509006590882727</v>
      </c>
      <c r="I1204" s="302">
        <v>1.861179287050496</v>
      </c>
      <c r="J1204" s="302">
        <f t="shared" ref="J1204:J1207" si="514">SUM(G1204:I1204)</f>
        <v>9.7529609218405202</v>
      </c>
      <c r="K1204" s="303"/>
      <c r="L1204" s="302">
        <v>2.0880948766342877</v>
      </c>
      <c r="M1204" s="302">
        <v>5.4069960665408541</v>
      </c>
      <c r="N1204" s="302">
        <v>1.9502441583866337</v>
      </c>
      <c r="O1204" s="302">
        <f t="shared" si="513"/>
        <v>9.4453351015617759</v>
      </c>
    </row>
    <row r="1205" spans="1:15" s="236" customFormat="1" x14ac:dyDescent="0.3">
      <c r="A1205" s="237" t="str">
        <f>name!E$10</f>
        <v>Sales and customer service occupations</v>
      </c>
      <c r="B1205" s="302">
        <v>2.7519893622223823</v>
      </c>
      <c r="C1205" s="302">
        <v>3.271539517573701</v>
      </c>
      <c r="D1205" s="302">
        <v>1.0813719441479432</v>
      </c>
      <c r="E1205" s="302">
        <f t="shared" si="511"/>
        <v>7.1049008239440266</v>
      </c>
      <c r="F1205" s="303"/>
      <c r="G1205" s="302">
        <v>1.9744412280189529</v>
      </c>
      <c r="H1205" s="302">
        <v>3.9123877236929094</v>
      </c>
      <c r="I1205" s="302">
        <v>0.90979886007853683</v>
      </c>
      <c r="J1205" s="302">
        <f t="shared" si="514"/>
        <v>6.7966278117903993</v>
      </c>
      <c r="K1205" s="303"/>
      <c r="L1205" s="302">
        <v>1.8123545792571694</v>
      </c>
      <c r="M1205" s="302">
        <v>4.0196578242803769</v>
      </c>
      <c r="N1205" s="302">
        <v>0.82515512245814171</v>
      </c>
      <c r="O1205" s="302">
        <f t="shared" si="513"/>
        <v>6.6571675259956882</v>
      </c>
    </row>
    <row r="1206" spans="1:15" s="236" customFormat="1" x14ac:dyDescent="0.3">
      <c r="A1206" s="237" t="str">
        <f>name!E$11</f>
        <v>Process, plant and machine operatives</v>
      </c>
      <c r="B1206" s="302">
        <v>0.60088014891658981</v>
      </c>
      <c r="C1206" s="302">
        <v>0.30275851846983332</v>
      </c>
      <c r="D1206" s="302">
        <v>0.31295601290121855</v>
      </c>
      <c r="E1206" s="302">
        <f t="shared" si="511"/>
        <v>1.2165946802876417</v>
      </c>
      <c r="F1206" s="303"/>
      <c r="G1206" s="302">
        <v>0.27839732059748712</v>
      </c>
      <c r="H1206" s="302">
        <v>0.40447885372166714</v>
      </c>
      <c r="I1206" s="302">
        <v>0.34939046283212211</v>
      </c>
      <c r="J1206" s="302">
        <f t="shared" si="514"/>
        <v>1.0322666371512763</v>
      </c>
      <c r="K1206" s="303"/>
      <c r="L1206" s="302">
        <v>0.23765326861497152</v>
      </c>
      <c r="M1206" s="302">
        <v>0.532985936761037</v>
      </c>
      <c r="N1206" s="302">
        <v>0.39745079930747634</v>
      </c>
      <c r="O1206" s="302">
        <f t="shared" si="513"/>
        <v>1.1680900046834848</v>
      </c>
    </row>
    <row r="1207" spans="1:15" s="236" customFormat="1" x14ac:dyDescent="0.3">
      <c r="A1207" s="237" t="str">
        <f>name!E$12</f>
        <v>Elementary occupations</v>
      </c>
      <c r="B1207" s="302">
        <v>2.2795672877051696</v>
      </c>
      <c r="C1207" s="302">
        <v>8.4505321726997078</v>
      </c>
      <c r="D1207" s="302">
        <v>0.86484982153984136</v>
      </c>
      <c r="E1207" s="302">
        <f t="shared" si="511"/>
        <v>11.59494928194472</v>
      </c>
      <c r="F1207" s="303"/>
      <c r="G1207" s="302">
        <v>1.1589617036670765</v>
      </c>
      <c r="H1207" s="302">
        <v>8.0989118893507825</v>
      </c>
      <c r="I1207" s="302">
        <v>0.66539149487580351</v>
      </c>
      <c r="J1207" s="302">
        <f t="shared" si="514"/>
        <v>9.9232650878936628</v>
      </c>
      <c r="K1207" s="303"/>
      <c r="L1207" s="302">
        <v>0.87546741818120133</v>
      </c>
      <c r="M1207" s="302">
        <v>5.486164390201111</v>
      </c>
      <c r="N1207" s="302">
        <v>0.69973760329138324</v>
      </c>
      <c r="O1207" s="302">
        <f t="shared" si="513"/>
        <v>7.0613694116736951</v>
      </c>
    </row>
    <row r="1208" spans="1:15" s="236" customFormat="1" x14ac:dyDescent="0.3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3">
      <c r="A1209" s="244" t="s">
        <v>32</v>
      </c>
      <c r="B1209" s="311">
        <f>SUM(B1199:B1207)</f>
        <v>47.765999999693364</v>
      </c>
      <c r="C1209" s="311">
        <f t="shared" ref="C1209:E1209" si="515">SUM(C1199:C1207)</f>
        <v>39.826000000213575</v>
      </c>
      <c r="D1209" s="311">
        <f t="shared" si="515"/>
        <v>73.600000001480296</v>
      </c>
      <c r="E1209" s="311">
        <f t="shared" si="515"/>
        <v>161.19200000138721</v>
      </c>
      <c r="F1209" s="311"/>
      <c r="G1209" s="311">
        <f t="shared" ref="G1209:J1209" si="516">SUM(G1199:G1207)</f>
        <v>38.218999999943719</v>
      </c>
      <c r="H1209" s="311">
        <f t="shared" si="516"/>
        <v>46.997000000170218</v>
      </c>
      <c r="I1209" s="311">
        <f t="shared" si="516"/>
        <v>81.970999999945576</v>
      </c>
      <c r="J1209" s="311">
        <f t="shared" si="516"/>
        <v>167.18700000005953</v>
      </c>
      <c r="K1209" s="311"/>
      <c r="L1209" s="311">
        <f t="shared" ref="L1209:O1209" si="517">SUM(L1199:L1207)</f>
        <v>36.994000000096698</v>
      </c>
      <c r="M1209" s="311">
        <f t="shared" si="517"/>
        <v>47.160999999886158</v>
      </c>
      <c r="N1209" s="311">
        <f t="shared" si="517"/>
        <v>81.132000002116882</v>
      </c>
      <c r="O1209" s="311">
        <f t="shared" si="517"/>
        <v>165.28700000209972</v>
      </c>
    </row>
    <row r="1210" spans="1:15" s="236" customFormat="1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3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3">
      <c r="A1213" s="241" t="str">
        <f>name!A74</f>
        <v>Gambling and betting</v>
      </c>
      <c r="B1213" s="375">
        <f>$B$6</f>
        <v>2015</v>
      </c>
      <c r="C1213" s="375"/>
      <c r="D1213" s="375"/>
      <c r="E1213" s="375"/>
      <c r="F1213" s="263"/>
      <c r="G1213" s="375">
        <f>$G$6</f>
        <v>2020</v>
      </c>
      <c r="H1213" s="375"/>
      <c r="I1213" s="375"/>
      <c r="J1213" s="375"/>
      <c r="K1213" s="263"/>
      <c r="L1213" s="375">
        <f>$L$6</f>
        <v>2035</v>
      </c>
      <c r="M1213" s="375"/>
      <c r="N1213" s="375"/>
      <c r="O1213" s="375"/>
    </row>
    <row r="1214" spans="1:15" s="236" customFormat="1" x14ac:dyDescent="0.3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3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3">
      <c r="A1216" s="237" t="str">
        <f>name!E$4</f>
        <v>Managers, directors and senior officials</v>
      </c>
      <c r="B1216" s="302">
        <v>7.8900239384450748</v>
      </c>
      <c r="C1216" s="302">
        <v>1.4625806600083979</v>
      </c>
      <c r="D1216" s="302">
        <v>0.86754057044076605</v>
      </c>
      <c r="E1216" s="302">
        <f>SUM(B1216:D1216)</f>
        <v>10.22014516889424</v>
      </c>
      <c r="F1216" s="303"/>
      <c r="G1216" s="302">
        <v>6.754104354161921</v>
      </c>
      <c r="H1216" s="302">
        <v>1.8766996056711536</v>
      </c>
      <c r="I1216" s="302">
        <v>0.83149544856155166</v>
      </c>
      <c r="J1216" s="302">
        <f>SUM(G1216:I1216)</f>
        <v>9.4622994083946246</v>
      </c>
      <c r="K1216" s="303"/>
      <c r="L1216" s="302">
        <v>8.1463222784729616</v>
      </c>
      <c r="M1216" s="302">
        <v>3.1532206100679554</v>
      </c>
      <c r="N1216" s="302">
        <v>1.1624936649929587</v>
      </c>
      <c r="O1216" s="302">
        <f>SUM(L1216:N1216)</f>
        <v>12.462036553533874</v>
      </c>
    </row>
    <row r="1217" spans="1:15" s="236" customFormat="1" x14ac:dyDescent="0.3">
      <c r="A1217" s="237" t="str">
        <f>name!E$5</f>
        <v>Professional occupations</v>
      </c>
      <c r="B1217" s="302">
        <v>8.7326919072586886</v>
      </c>
      <c r="C1217" s="302">
        <v>2.7110016234267489</v>
      </c>
      <c r="D1217" s="302">
        <v>2.4917123868697137</v>
      </c>
      <c r="E1217" s="302">
        <f t="shared" ref="E1217:E1224" si="518">SUM(B1217:D1217)</f>
        <v>13.935405917555151</v>
      </c>
      <c r="F1217" s="303"/>
      <c r="G1217" s="302">
        <v>8.7258136930657901</v>
      </c>
      <c r="H1217" s="302">
        <v>3.7525494825844881</v>
      </c>
      <c r="I1217" s="302">
        <v>2.1854966040992698</v>
      </c>
      <c r="J1217" s="302">
        <f t="shared" ref="J1217:J1219" si="519">SUM(G1217:I1217)</f>
        <v>14.663859779749547</v>
      </c>
      <c r="K1217" s="303"/>
      <c r="L1217" s="302">
        <v>11.134929072907983</v>
      </c>
      <c r="M1217" s="302">
        <v>6.0881616024555134</v>
      </c>
      <c r="N1217" s="302">
        <v>2.6867360334478159</v>
      </c>
      <c r="O1217" s="302">
        <f t="shared" ref="O1217:O1224" si="520">SUM(L1217:N1217)</f>
        <v>19.909826708811313</v>
      </c>
    </row>
    <row r="1218" spans="1:15" s="236" customFormat="1" x14ac:dyDescent="0.3">
      <c r="A1218" s="237" t="str">
        <f>name!E$6</f>
        <v>Associate professional occupations</v>
      </c>
      <c r="B1218" s="302">
        <v>12.366377119842879</v>
      </c>
      <c r="C1218" s="302">
        <v>5.1510415819085535</v>
      </c>
      <c r="D1218" s="302">
        <v>7.7624936202130179</v>
      </c>
      <c r="E1218" s="302">
        <f t="shared" si="518"/>
        <v>25.279912321964449</v>
      </c>
      <c r="F1218" s="303"/>
      <c r="G1218" s="302">
        <v>11.22497582138811</v>
      </c>
      <c r="H1218" s="302">
        <v>5.3677549457590557</v>
      </c>
      <c r="I1218" s="302">
        <v>6.8874985878052115</v>
      </c>
      <c r="J1218" s="302">
        <f t="shared" si="519"/>
        <v>23.480229354952378</v>
      </c>
      <c r="K1218" s="303"/>
      <c r="L1218" s="302">
        <v>13.376131965685346</v>
      </c>
      <c r="M1218" s="302">
        <v>6.1716460738774908</v>
      </c>
      <c r="N1218" s="302">
        <v>9.3150557857599683</v>
      </c>
      <c r="O1218" s="302">
        <f t="shared" si="520"/>
        <v>28.862833825322802</v>
      </c>
    </row>
    <row r="1219" spans="1:15" s="236" customFormat="1" x14ac:dyDescent="0.3">
      <c r="A1219" s="237" t="str">
        <f>name!E$7</f>
        <v>Administrative and secretarial occupations</v>
      </c>
      <c r="B1219" s="302">
        <v>4.8645840334123545</v>
      </c>
      <c r="C1219" s="302">
        <v>5.9570636944759316</v>
      </c>
      <c r="D1219" s="302">
        <v>0.22318452476535255</v>
      </c>
      <c r="E1219" s="302">
        <f t="shared" si="518"/>
        <v>11.04483225265364</v>
      </c>
      <c r="F1219" s="303"/>
      <c r="G1219" s="302">
        <v>3.9603168129518345</v>
      </c>
      <c r="H1219" s="302">
        <v>5.8587993780921739</v>
      </c>
      <c r="I1219" s="302">
        <v>0.1512374713540475</v>
      </c>
      <c r="J1219" s="302">
        <f t="shared" si="519"/>
        <v>9.9703536623980558</v>
      </c>
      <c r="K1219" s="303"/>
      <c r="L1219" s="302">
        <v>4.0238999445215491</v>
      </c>
      <c r="M1219" s="302">
        <v>5.8335082250743318</v>
      </c>
      <c r="N1219" s="302">
        <v>0.1456740400573249</v>
      </c>
      <c r="O1219" s="302">
        <f t="shared" si="520"/>
        <v>10.003082209653206</v>
      </c>
    </row>
    <row r="1220" spans="1:15" s="236" customFormat="1" x14ac:dyDescent="0.3">
      <c r="A1220" s="237" t="str">
        <f>name!E$8</f>
        <v>Skilled trades occupations</v>
      </c>
      <c r="B1220" s="302">
        <v>6.0848345981094125</v>
      </c>
      <c r="C1220" s="302">
        <v>2.0436529475383658</v>
      </c>
      <c r="D1220" s="302">
        <v>1.1303704771347589</v>
      </c>
      <c r="E1220" s="302">
        <f t="shared" si="518"/>
        <v>9.2588580227825386</v>
      </c>
      <c r="F1220" s="303"/>
      <c r="G1220" s="302">
        <v>4.2833582862540185</v>
      </c>
      <c r="H1220" s="302">
        <v>1.4491975681228437</v>
      </c>
      <c r="I1220" s="302">
        <v>0.92662589392711348</v>
      </c>
      <c r="J1220" s="302">
        <f>SUM(G1220:I1220)</f>
        <v>6.6591817483039755</v>
      </c>
      <c r="K1220" s="303"/>
      <c r="L1220" s="302">
        <v>3.6561153336367562</v>
      </c>
      <c r="M1220" s="302">
        <v>2.3460523312893029</v>
      </c>
      <c r="N1220" s="302">
        <v>1.3000574685201916</v>
      </c>
      <c r="O1220" s="302">
        <f t="shared" si="520"/>
        <v>7.3022251334462505</v>
      </c>
    </row>
    <row r="1221" spans="1:15" s="236" customFormat="1" x14ac:dyDescent="0.3">
      <c r="A1221" s="237" t="str">
        <f>name!E$9</f>
        <v>Caring, leisure and other service occupations</v>
      </c>
      <c r="B1221" s="302">
        <v>3.3815006574165074</v>
      </c>
      <c r="C1221" s="302">
        <v>4.5413430832645965</v>
      </c>
      <c r="D1221" s="302">
        <v>0.24037041329656403</v>
      </c>
      <c r="E1221" s="302">
        <f t="shared" si="518"/>
        <v>8.1632141539776679</v>
      </c>
      <c r="F1221" s="303"/>
      <c r="G1221" s="302">
        <v>2.5843924592075593</v>
      </c>
      <c r="H1221" s="302">
        <v>3.7818932562728729</v>
      </c>
      <c r="I1221" s="302">
        <v>0.20832218694603438</v>
      </c>
      <c r="J1221" s="302">
        <f t="shared" ref="J1221:J1224" si="521">SUM(G1221:I1221)</f>
        <v>6.5746079024264663</v>
      </c>
      <c r="K1221" s="303"/>
      <c r="L1221" s="302">
        <v>2.8685579000908463</v>
      </c>
      <c r="M1221" s="302">
        <v>4.7913237864332165</v>
      </c>
      <c r="N1221" s="302">
        <v>0.28033046848640308</v>
      </c>
      <c r="O1221" s="302">
        <f t="shared" si="520"/>
        <v>7.9402121550104656</v>
      </c>
    </row>
    <row r="1222" spans="1:15" s="236" customFormat="1" x14ac:dyDescent="0.3">
      <c r="A1222" s="237" t="str">
        <f>name!E$10</f>
        <v>Sales and customer service occupations</v>
      </c>
      <c r="B1222" s="302">
        <v>2.6273119805840182</v>
      </c>
      <c r="C1222" s="302">
        <v>3.4857853765851639</v>
      </c>
      <c r="D1222" s="302">
        <v>0.19874657227061443</v>
      </c>
      <c r="E1222" s="302">
        <f t="shared" si="518"/>
        <v>6.3118439294397968</v>
      </c>
      <c r="F1222" s="303"/>
      <c r="G1222" s="302">
        <v>2.0510799832483162</v>
      </c>
      <c r="H1222" s="302">
        <v>3.0931155332765883</v>
      </c>
      <c r="I1222" s="302">
        <v>0.12900286161839067</v>
      </c>
      <c r="J1222" s="302">
        <f t="shared" si="521"/>
        <v>5.2731983781432952</v>
      </c>
      <c r="K1222" s="303"/>
      <c r="L1222" s="302">
        <v>2.528591298789626</v>
      </c>
      <c r="M1222" s="302">
        <v>4.0763467580930239</v>
      </c>
      <c r="N1222" s="302">
        <v>0.14416924603689993</v>
      </c>
      <c r="O1222" s="302">
        <f t="shared" si="520"/>
        <v>6.7491073029195503</v>
      </c>
    </row>
    <row r="1223" spans="1:15" s="236" customFormat="1" x14ac:dyDescent="0.3">
      <c r="A1223" s="237" t="str">
        <f>name!E$11</f>
        <v>Process, plant and machine operatives</v>
      </c>
      <c r="B1223" s="302">
        <v>0.72482705159156147</v>
      </c>
      <c r="C1223" s="302">
        <v>0.49314760019333859</v>
      </c>
      <c r="D1223" s="302">
        <v>5.007948538306245E-2</v>
      </c>
      <c r="E1223" s="302">
        <f t="shared" si="518"/>
        <v>1.2680541371679626</v>
      </c>
      <c r="F1223" s="303"/>
      <c r="G1223" s="302">
        <v>0.49491587046654123</v>
      </c>
      <c r="H1223" s="302">
        <v>0.421710355980083</v>
      </c>
      <c r="I1223" s="302">
        <v>4.7766894599661491E-2</v>
      </c>
      <c r="J1223" s="302">
        <f t="shared" si="521"/>
        <v>0.96439312104628572</v>
      </c>
      <c r="K1223" s="303"/>
      <c r="L1223" s="302">
        <v>0.48344336750711753</v>
      </c>
      <c r="M1223" s="302">
        <v>0.61779940421597002</v>
      </c>
      <c r="N1223" s="302">
        <v>7.6436250329213182E-2</v>
      </c>
      <c r="O1223" s="302">
        <f t="shared" si="520"/>
        <v>1.1776790220523006</v>
      </c>
    </row>
    <row r="1224" spans="1:15" s="236" customFormat="1" x14ac:dyDescent="0.3">
      <c r="A1224" s="237" t="str">
        <f>name!E$12</f>
        <v>Elementary occupations</v>
      </c>
      <c r="B1224" s="302">
        <v>2.6488487130598459</v>
      </c>
      <c r="C1224" s="302">
        <v>7.8603834328214042</v>
      </c>
      <c r="D1224" s="302">
        <v>0.14950194986370768</v>
      </c>
      <c r="E1224" s="302">
        <f t="shared" si="518"/>
        <v>10.658734095744958</v>
      </c>
      <c r="F1224" s="303"/>
      <c r="G1224" s="302">
        <v>1.8740427192124516</v>
      </c>
      <c r="H1224" s="302">
        <v>5.6752798743129835</v>
      </c>
      <c r="I1224" s="302">
        <v>8.1554051215792289E-2</v>
      </c>
      <c r="J1224" s="302">
        <f t="shared" si="521"/>
        <v>7.6308766447412273</v>
      </c>
      <c r="K1224" s="303"/>
      <c r="L1224" s="302">
        <v>1.7240088384810177</v>
      </c>
      <c r="M1224" s="302">
        <v>4.7889412084541094</v>
      </c>
      <c r="N1224" s="302">
        <v>0.11004704301632805</v>
      </c>
      <c r="O1224" s="302">
        <f t="shared" si="520"/>
        <v>6.622997089951455</v>
      </c>
    </row>
    <row r="1225" spans="1:15" s="236" customFormat="1" x14ac:dyDescent="0.3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3">
      <c r="A1226" s="244" t="s">
        <v>32</v>
      </c>
      <c r="B1226" s="311">
        <f>SUM(B1216:B1224)</f>
        <v>49.320999999720343</v>
      </c>
      <c r="C1226" s="311">
        <f t="shared" ref="C1226:E1226" si="522">SUM(C1216:C1224)</f>
        <v>33.706000000222502</v>
      </c>
      <c r="D1226" s="311">
        <f t="shared" si="522"/>
        <v>13.114000000237558</v>
      </c>
      <c r="E1226" s="311">
        <f t="shared" si="522"/>
        <v>96.141000000180412</v>
      </c>
      <c r="F1226" s="311"/>
      <c r="G1226" s="311">
        <f t="shared" ref="G1226:J1226" si="523">SUM(G1216:G1224)</f>
        <v>41.952999999956539</v>
      </c>
      <c r="H1226" s="311">
        <f t="shared" si="523"/>
        <v>31.277000000072245</v>
      </c>
      <c r="I1226" s="311">
        <f t="shared" si="523"/>
        <v>11.449000000127073</v>
      </c>
      <c r="J1226" s="311">
        <f t="shared" si="523"/>
        <v>84.679000000155838</v>
      </c>
      <c r="K1226" s="311"/>
      <c r="L1226" s="311">
        <f t="shared" ref="L1226:O1226" si="524">SUM(L1216:L1224)</f>
        <v>47.942000000093209</v>
      </c>
      <c r="M1226" s="311">
        <f t="shared" si="524"/>
        <v>37.866999999960917</v>
      </c>
      <c r="N1226" s="311">
        <f t="shared" si="524"/>
        <v>15.221000000647102</v>
      </c>
      <c r="O1226" s="311">
        <f t="shared" si="524"/>
        <v>101.03000000070124</v>
      </c>
    </row>
    <row r="1227" spans="1:15" s="236" customFormat="1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3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3">
      <c r="A1230" s="241" t="str">
        <f>name!A75</f>
        <v>Sport and recreation</v>
      </c>
      <c r="B1230" s="375">
        <f>$B$6</f>
        <v>2015</v>
      </c>
      <c r="C1230" s="375"/>
      <c r="D1230" s="375"/>
      <c r="E1230" s="375"/>
      <c r="F1230" s="263"/>
      <c r="G1230" s="375">
        <f>$G$6</f>
        <v>2020</v>
      </c>
      <c r="H1230" s="375"/>
      <c r="I1230" s="375"/>
      <c r="J1230" s="375"/>
      <c r="K1230" s="263"/>
      <c r="L1230" s="375">
        <f>$L$6</f>
        <v>2035</v>
      </c>
      <c r="M1230" s="375"/>
      <c r="N1230" s="375"/>
      <c r="O1230" s="375"/>
    </row>
    <row r="1231" spans="1:15" s="236" customFormat="1" x14ac:dyDescent="0.3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3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3">
      <c r="A1233" s="237" t="str">
        <f>name!E$4</f>
        <v>Managers, directors and senior officials</v>
      </c>
      <c r="B1233" s="302">
        <v>25.096675033072817</v>
      </c>
      <c r="C1233" s="302">
        <v>12.271707282579548</v>
      </c>
      <c r="D1233" s="302">
        <v>4.8021435787619939</v>
      </c>
      <c r="E1233" s="302">
        <f>SUM(B1233:D1233)</f>
        <v>42.170525894414361</v>
      </c>
      <c r="F1233" s="303"/>
      <c r="G1233" s="302">
        <v>26.923308647696604</v>
      </c>
      <c r="H1233" s="302">
        <v>16.820301733385286</v>
      </c>
      <c r="I1233" s="302">
        <v>5.0369322597088013</v>
      </c>
      <c r="J1233" s="302">
        <f>SUM(G1233:I1233)</f>
        <v>48.780542640790692</v>
      </c>
      <c r="K1233" s="303"/>
      <c r="L1233" s="302">
        <v>33.735073632142935</v>
      </c>
      <c r="M1233" s="302">
        <v>27.629822660647491</v>
      </c>
      <c r="N1233" s="302">
        <v>7.083807037284485</v>
      </c>
      <c r="O1233" s="302">
        <f>SUM(L1233:N1233)</f>
        <v>68.448703330074906</v>
      </c>
    </row>
    <row r="1234" spans="1:15" s="236" customFormat="1" x14ac:dyDescent="0.3">
      <c r="A1234" s="237" t="str">
        <f>name!E$5</f>
        <v>Professional occupations</v>
      </c>
      <c r="B1234" s="302">
        <v>25.896661929286722</v>
      </c>
      <c r="C1234" s="302">
        <v>16.964272514855104</v>
      </c>
      <c r="D1234" s="302">
        <v>12.866524477473023</v>
      </c>
      <c r="E1234" s="302">
        <f t="shared" ref="E1234:E1241" si="525">SUM(B1234:D1234)</f>
        <v>55.727458921614847</v>
      </c>
      <c r="F1234" s="303"/>
      <c r="G1234" s="302">
        <v>32.127346697704546</v>
      </c>
      <c r="H1234" s="302">
        <v>23.110553387166547</v>
      </c>
      <c r="I1234" s="302">
        <v>12.697512387542254</v>
      </c>
      <c r="J1234" s="302">
        <f t="shared" ref="J1234:J1236" si="526">SUM(G1234:I1234)</f>
        <v>67.935412472413347</v>
      </c>
      <c r="K1234" s="303"/>
      <c r="L1234" s="302">
        <v>39.907218410173797</v>
      </c>
      <c r="M1234" s="302">
        <v>35.098693930048128</v>
      </c>
      <c r="N1234" s="302">
        <v>15.649421386983544</v>
      </c>
      <c r="O1234" s="302">
        <f t="shared" ref="O1234:O1241" si="527">SUM(L1234:N1234)</f>
        <v>90.655333727205473</v>
      </c>
    </row>
    <row r="1235" spans="1:15" s="236" customFormat="1" x14ac:dyDescent="0.3">
      <c r="A1235" s="237" t="str">
        <f>name!E$6</f>
        <v>Associate professional occupations</v>
      </c>
      <c r="B1235" s="302">
        <v>30.870114295040857</v>
      </c>
      <c r="C1235" s="302">
        <v>29.997658963084003</v>
      </c>
      <c r="D1235" s="302">
        <v>38.96455971428874</v>
      </c>
      <c r="E1235" s="302">
        <f t="shared" si="525"/>
        <v>99.832332972413596</v>
      </c>
      <c r="F1235" s="303"/>
      <c r="G1235" s="302">
        <v>34.320979217931495</v>
      </c>
      <c r="H1235" s="302">
        <v>31.591835327261578</v>
      </c>
      <c r="I1235" s="302">
        <v>39.338283709953096</v>
      </c>
      <c r="J1235" s="302">
        <f t="shared" si="526"/>
        <v>105.25109825514616</v>
      </c>
      <c r="K1235" s="303"/>
      <c r="L1235" s="302">
        <v>38.485658933202572</v>
      </c>
      <c r="M1235" s="302">
        <v>37.587236109966327</v>
      </c>
      <c r="N1235" s="302">
        <v>53.245026592052241</v>
      </c>
      <c r="O1235" s="302">
        <f t="shared" si="527"/>
        <v>129.31792163522113</v>
      </c>
    </row>
    <row r="1236" spans="1:15" s="236" customFormat="1" x14ac:dyDescent="0.3">
      <c r="A1236" s="237" t="str">
        <f>name!E$7</f>
        <v>Administrative and secretarial occupations</v>
      </c>
      <c r="B1236" s="302">
        <v>16.036550577604828</v>
      </c>
      <c r="C1236" s="302">
        <v>41.07345653495117</v>
      </c>
      <c r="D1236" s="302">
        <v>1.104260116579874</v>
      </c>
      <c r="E1236" s="302">
        <f t="shared" si="525"/>
        <v>58.214267229135871</v>
      </c>
      <c r="F1236" s="303"/>
      <c r="G1236" s="302">
        <v>15.283224319102668</v>
      </c>
      <c r="H1236" s="302">
        <v>41.795766060057922</v>
      </c>
      <c r="I1236" s="302">
        <v>0.87748871994533595</v>
      </c>
      <c r="J1236" s="302">
        <f t="shared" si="526"/>
        <v>57.95647909910592</v>
      </c>
      <c r="K1236" s="303"/>
      <c r="L1236" s="302">
        <v>14.076755892036457</v>
      </c>
      <c r="M1236" s="302">
        <v>40.540273623517237</v>
      </c>
      <c r="N1236" s="302">
        <v>0.91383763106454674</v>
      </c>
      <c r="O1236" s="302">
        <f t="shared" si="527"/>
        <v>55.530867146618242</v>
      </c>
    </row>
    <row r="1237" spans="1:15" s="236" customFormat="1" x14ac:dyDescent="0.3">
      <c r="A1237" s="237" t="str">
        <f>name!E$8</f>
        <v>Skilled trades occupations</v>
      </c>
      <c r="B1237" s="302">
        <v>15.630926250519151</v>
      </c>
      <c r="C1237" s="302">
        <v>10.096283831363014</v>
      </c>
      <c r="D1237" s="302">
        <v>6.0286531954517937</v>
      </c>
      <c r="E1237" s="302">
        <f t="shared" si="525"/>
        <v>31.755863277333958</v>
      </c>
      <c r="F1237" s="303"/>
      <c r="G1237" s="302">
        <v>14.583213274767811</v>
      </c>
      <c r="H1237" s="302">
        <v>8.2282936385978278</v>
      </c>
      <c r="I1237" s="302">
        <v>5.5871361239310335</v>
      </c>
      <c r="J1237" s="302">
        <f>SUM(G1237:I1237)</f>
        <v>28.398643037296672</v>
      </c>
      <c r="K1237" s="303"/>
      <c r="L1237" s="302">
        <v>13.444998536079925</v>
      </c>
      <c r="M1237" s="302">
        <v>14.61608318617191</v>
      </c>
      <c r="N1237" s="302">
        <v>7.8221981829382239</v>
      </c>
      <c r="O1237" s="302">
        <f t="shared" si="527"/>
        <v>35.883279905190058</v>
      </c>
    </row>
    <row r="1238" spans="1:15" s="236" customFormat="1" x14ac:dyDescent="0.3">
      <c r="A1238" s="237" t="str">
        <f>name!E$9</f>
        <v>Caring, leisure and other service occupations</v>
      </c>
      <c r="B1238" s="302">
        <v>16.535630554477205</v>
      </c>
      <c r="C1238" s="302">
        <v>31.592302370614018</v>
      </c>
      <c r="D1238" s="302">
        <v>3.8998796692915936</v>
      </c>
      <c r="E1238" s="302">
        <f t="shared" si="525"/>
        <v>52.027812594382816</v>
      </c>
      <c r="F1238" s="303"/>
      <c r="G1238" s="302">
        <v>14.766159722089396</v>
      </c>
      <c r="H1238" s="302">
        <v>27.180064585083667</v>
      </c>
      <c r="I1238" s="302">
        <v>3.7951715802210835</v>
      </c>
      <c r="J1238" s="302">
        <f t="shared" ref="J1238:J1241" si="528">SUM(G1238:I1238)</f>
        <v>45.741395887394148</v>
      </c>
      <c r="K1238" s="303"/>
      <c r="L1238" s="302">
        <v>16.230803358151174</v>
      </c>
      <c r="M1238" s="302">
        <v>31.301157509328558</v>
      </c>
      <c r="N1238" s="302">
        <v>4.5322462310577016</v>
      </c>
      <c r="O1238" s="302">
        <f t="shared" si="527"/>
        <v>52.064207098537437</v>
      </c>
    </row>
    <row r="1239" spans="1:15" s="236" customFormat="1" x14ac:dyDescent="0.3">
      <c r="A1239" s="237" t="str">
        <f>name!E$10</f>
        <v>Sales and customer service occupations</v>
      </c>
      <c r="B1239" s="302">
        <v>8.3577115381340956</v>
      </c>
      <c r="C1239" s="302">
        <v>18.871503475937924</v>
      </c>
      <c r="D1239" s="302">
        <v>1.1033930699581389</v>
      </c>
      <c r="E1239" s="302">
        <f t="shared" si="525"/>
        <v>28.332608084030156</v>
      </c>
      <c r="F1239" s="303"/>
      <c r="G1239" s="302">
        <v>7.9055656848435625</v>
      </c>
      <c r="H1239" s="302">
        <v>18.253672218242002</v>
      </c>
      <c r="I1239" s="302">
        <v>0.83404753456907177</v>
      </c>
      <c r="J1239" s="302">
        <f t="shared" si="528"/>
        <v>26.993285437654638</v>
      </c>
      <c r="K1239" s="303"/>
      <c r="L1239" s="302">
        <v>9.2175781808941206</v>
      </c>
      <c r="M1239" s="302">
        <v>23.199854002124933</v>
      </c>
      <c r="N1239" s="302">
        <v>0.92044742355948261</v>
      </c>
      <c r="O1239" s="302">
        <f t="shared" si="527"/>
        <v>33.337879606578532</v>
      </c>
    </row>
    <row r="1240" spans="1:15" s="236" customFormat="1" x14ac:dyDescent="0.3">
      <c r="A1240" s="237" t="str">
        <f>name!E$11</f>
        <v>Process, plant and machine operatives</v>
      </c>
      <c r="B1240" s="302">
        <v>2.367909108251351</v>
      </c>
      <c r="C1240" s="302">
        <v>2.6150207469309033</v>
      </c>
      <c r="D1240" s="302">
        <v>0.31982372695933864</v>
      </c>
      <c r="E1240" s="302">
        <f t="shared" si="525"/>
        <v>5.3027535821415928</v>
      </c>
      <c r="F1240" s="303"/>
      <c r="G1240" s="302">
        <v>2.0750513560073709</v>
      </c>
      <c r="H1240" s="302">
        <v>2.3348933318271698</v>
      </c>
      <c r="I1240" s="302">
        <v>0.34105064095753385</v>
      </c>
      <c r="J1240" s="302">
        <f t="shared" si="528"/>
        <v>4.750995328792075</v>
      </c>
      <c r="K1240" s="303"/>
      <c r="L1240" s="302">
        <v>2.1985577535124876</v>
      </c>
      <c r="M1240" s="302">
        <v>3.2670598864991742</v>
      </c>
      <c r="N1240" s="302">
        <v>0.52864535379361044</v>
      </c>
      <c r="O1240" s="302">
        <f t="shared" si="527"/>
        <v>5.9942629938052718</v>
      </c>
    </row>
    <row r="1241" spans="1:15" s="236" customFormat="1" x14ac:dyDescent="0.3">
      <c r="A1241" s="237" t="str">
        <f>name!E$12</f>
        <v>Elementary occupations</v>
      </c>
      <c r="B1241" s="302">
        <v>7.590820712725737</v>
      </c>
      <c r="C1241" s="302">
        <v>45.578794280934488</v>
      </c>
      <c r="D1241" s="302">
        <v>1.0047624527249504</v>
      </c>
      <c r="E1241" s="302">
        <f t="shared" si="525"/>
        <v>54.174377446385179</v>
      </c>
      <c r="F1241" s="303"/>
      <c r="G1241" s="302">
        <v>6.6421510793800023</v>
      </c>
      <c r="H1241" s="302">
        <v>35.960619719273218</v>
      </c>
      <c r="I1241" s="302">
        <v>0.68837704365386565</v>
      </c>
      <c r="J1241" s="302">
        <f t="shared" si="528"/>
        <v>43.291147842307083</v>
      </c>
      <c r="K1241" s="303"/>
      <c r="L1241" s="302">
        <v>6.3133553039203631</v>
      </c>
      <c r="M1241" s="302">
        <v>30.174819091595928</v>
      </c>
      <c r="N1241" s="302">
        <v>0.93337016478439871</v>
      </c>
      <c r="O1241" s="302">
        <f t="shared" si="527"/>
        <v>37.421544560300688</v>
      </c>
    </row>
    <row r="1242" spans="1:15" s="236" customFormat="1" x14ac:dyDescent="0.3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3">
      <c r="A1243" s="244" t="s">
        <v>32</v>
      </c>
      <c r="B1243" s="311">
        <f>SUM(B1233:B1241)</f>
        <v>148.38299999911274</v>
      </c>
      <c r="C1243" s="311">
        <f t="shared" ref="C1243:E1243" si="529">SUM(C1233:C1241)</f>
        <v>209.06100000125014</v>
      </c>
      <c r="D1243" s="311">
        <f t="shared" si="529"/>
        <v>70.094000001489462</v>
      </c>
      <c r="E1243" s="311">
        <f t="shared" si="529"/>
        <v>427.53800000185231</v>
      </c>
      <c r="F1243" s="311"/>
      <c r="G1243" s="311">
        <f t="shared" ref="G1243:J1243" si="530">SUM(G1233:G1241)</f>
        <v>154.62699999952346</v>
      </c>
      <c r="H1243" s="311">
        <f t="shared" si="530"/>
        <v>205.27600000089521</v>
      </c>
      <c r="I1243" s="311">
        <f t="shared" si="530"/>
        <v>69.196000000482073</v>
      </c>
      <c r="J1243" s="311">
        <f t="shared" si="530"/>
        <v>429.09900000090079</v>
      </c>
      <c r="K1243" s="311"/>
      <c r="L1243" s="311">
        <f t="shared" ref="L1243:O1243" si="531">SUM(L1233:L1241)</f>
        <v>173.61000000011384</v>
      </c>
      <c r="M1243" s="311">
        <f t="shared" si="531"/>
        <v>243.41499999989972</v>
      </c>
      <c r="N1243" s="311">
        <f t="shared" si="531"/>
        <v>91.629000003518229</v>
      </c>
      <c r="O1243" s="311">
        <f t="shared" si="531"/>
        <v>508.65400000353173</v>
      </c>
    </row>
    <row r="1244" spans="1:15" s="236" customFormat="1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3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3">
      <c r="A1247" s="241" t="str">
        <f>name!A76</f>
        <v>Membership organisations</v>
      </c>
      <c r="B1247" s="375">
        <f>$B$6</f>
        <v>2015</v>
      </c>
      <c r="C1247" s="375"/>
      <c r="D1247" s="375"/>
      <c r="E1247" s="375"/>
      <c r="F1247" s="263"/>
      <c r="G1247" s="375">
        <f>$G$6</f>
        <v>2020</v>
      </c>
      <c r="H1247" s="375"/>
      <c r="I1247" s="375"/>
      <c r="J1247" s="375"/>
      <c r="K1247" s="263"/>
      <c r="L1247" s="375">
        <f>$L$6</f>
        <v>2035</v>
      </c>
      <c r="M1247" s="375"/>
      <c r="N1247" s="375"/>
      <c r="O1247" s="375"/>
    </row>
    <row r="1248" spans="1:15" s="236" customFormat="1" x14ac:dyDescent="0.3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3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3">
      <c r="A1250" s="237" t="str">
        <f>name!E$4</f>
        <v>Managers, directors and senior officials</v>
      </c>
      <c r="B1250" s="302">
        <v>19.505894304529797</v>
      </c>
      <c r="C1250" s="302">
        <v>6.0313672234687274</v>
      </c>
      <c r="D1250" s="302">
        <v>7.0214739935253458</v>
      </c>
      <c r="E1250" s="302">
        <f>SUM(B1250:D1250)</f>
        <v>32.558735521523872</v>
      </c>
      <c r="F1250" s="303"/>
      <c r="G1250" s="302">
        <v>17.942524591503663</v>
      </c>
      <c r="H1250" s="302">
        <v>8.1250668942878832</v>
      </c>
      <c r="I1250" s="302">
        <v>7.9385556429403206</v>
      </c>
      <c r="J1250" s="302">
        <f>SUM(G1250:I1250)</f>
        <v>34.006147128731868</v>
      </c>
      <c r="K1250" s="303"/>
      <c r="L1250" s="302">
        <v>19.438033047463421</v>
      </c>
      <c r="M1250" s="302">
        <v>10.609067150052397</v>
      </c>
      <c r="N1250" s="302">
        <v>8.0405993115320076</v>
      </c>
      <c r="O1250" s="302">
        <f>SUM(L1250:N1250)</f>
        <v>38.087699509047823</v>
      </c>
    </row>
    <row r="1251" spans="1:15" s="236" customFormat="1" x14ac:dyDescent="0.3">
      <c r="A1251" s="237" t="str">
        <f>name!E$5</f>
        <v>Professional occupations</v>
      </c>
      <c r="B1251" s="302">
        <v>66.078771208416484</v>
      </c>
      <c r="C1251" s="302">
        <v>21.444154980740809</v>
      </c>
      <c r="D1251" s="302">
        <v>41.290265288919485</v>
      </c>
      <c r="E1251" s="302">
        <f t="shared" ref="E1251:E1258" si="532">SUM(B1251:D1251)</f>
        <v>128.81319147807676</v>
      </c>
      <c r="F1251" s="303"/>
      <c r="G1251" s="302">
        <v>67.761375417629083</v>
      </c>
      <c r="H1251" s="302">
        <v>24.877627930647105</v>
      </c>
      <c r="I1251" s="302">
        <v>38.190223145762154</v>
      </c>
      <c r="J1251" s="302">
        <f t="shared" ref="J1251:J1253" si="533">SUM(G1251:I1251)</f>
        <v>130.82922649403835</v>
      </c>
      <c r="K1251" s="303"/>
      <c r="L1251" s="302">
        <v>76.571499354791854</v>
      </c>
      <c r="M1251" s="302">
        <v>29.070578310277511</v>
      </c>
      <c r="N1251" s="302">
        <v>38.315531534588651</v>
      </c>
      <c r="O1251" s="302">
        <f t="shared" ref="O1251:O1258" si="534">SUM(L1251:N1251)</f>
        <v>143.95760919965801</v>
      </c>
    </row>
    <row r="1252" spans="1:15" s="236" customFormat="1" x14ac:dyDescent="0.3">
      <c r="A1252" s="237" t="str">
        <f>name!E$6</f>
        <v>Associate professional occupations</v>
      </c>
      <c r="B1252" s="302">
        <v>24.3859233814322</v>
      </c>
      <c r="C1252" s="302">
        <v>15.635213434519532</v>
      </c>
      <c r="D1252" s="302">
        <v>19.836791489115683</v>
      </c>
      <c r="E1252" s="302">
        <f t="shared" si="532"/>
        <v>59.857928305067418</v>
      </c>
      <c r="F1252" s="303"/>
      <c r="G1252" s="302">
        <v>23.67059833197936</v>
      </c>
      <c r="H1252" s="302">
        <v>15.397793630718752</v>
      </c>
      <c r="I1252" s="302">
        <v>21.226865954769984</v>
      </c>
      <c r="J1252" s="302">
        <f t="shared" si="533"/>
        <v>60.295257917468099</v>
      </c>
      <c r="K1252" s="303"/>
      <c r="L1252" s="302">
        <v>22.33410009530277</v>
      </c>
      <c r="M1252" s="302">
        <v>15.137175746857542</v>
      </c>
      <c r="N1252" s="302">
        <v>21.121326364161046</v>
      </c>
      <c r="O1252" s="302">
        <f t="shared" si="534"/>
        <v>58.592602206321359</v>
      </c>
    </row>
    <row r="1253" spans="1:15" s="236" customFormat="1" x14ac:dyDescent="0.3">
      <c r="A1253" s="237" t="str">
        <f>name!E$7</f>
        <v>Administrative and secretarial occupations</v>
      </c>
      <c r="B1253" s="302">
        <v>25.40014178466954</v>
      </c>
      <c r="C1253" s="302">
        <v>25.637304050292137</v>
      </c>
      <c r="D1253" s="302">
        <v>10.022161717207702</v>
      </c>
      <c r="E1253" s="302">
        <f t="shared" si="532"/>
        <v>61.059607552169375</v>
      </c>
      <c r="F1253" s="303"/>
      <c r="G1253" s="302">
        <v>21.140836976464133</v>
      </c>
      <c r="H1253" s="302">
        <v>21.50370894169415</v>
      </c>
      <c r="I1253" s="302">
        <v>9.9088632839157391</v>
      </c>
      <c r="J1253" s="302">
        <f t="shared" si="533"/>
        <v>52.553409202074022</v>
      </c>
      <c r="K1253" s="303"/>
      <c r="L1253" s="302">
        <v>15.12232021872669</v>
      </c>
      <c r="M1253" s="302">
        <v>16.960550165113691</v>
      </c>
      <c r="N1253" s="302">
        <v>8.9003004029248114</v>
      </c>
      <c r="O1253" s="302">
        <f t="shared" si="534"/>
        <v>40.983170786765193</v>
      </c>
    </row>
    <row r="1254" spans="1:15" s="236" customFormat="1" x14ac:dyDescent="0.3">
      <c r="A1254" s="237" t="str">
        <f>name!E$8</f>
        <v>Skilled trades occupations</v>
      </c>
      <c r="B1254" s="302">
        <v>3.064137543367548</v>
      </c>
      <c r="C1254" s="302">
        <v>3.4557598048950595</v>
      </c>
      <c r="D1254" s="302">
        <v>4.8074625304457603</v>
      </c>
      <c r="E1254" s="302">
        <f t="shared" si="532"/>
        <v>11.327359878708368</v>
      </c>
      <c r="F1254" s="303"/>
      <c r="G1254" s="302">
        <v>2.1184517030574059</v>
      </c>
      <c r="H1254" s="302">
        <v>2.4100276923703019</v>
      </c>
      <c r="I1254" s="302">
        <v>3.0137073870497293</v>
      </c>
      <c r="J1254" s="302">
        <f>SUM(G1254:I1254)</f>
        <v>7.5421867824774367</v>
      </c>
      <c r="K1254" s="303"/>
      <c r="L1254" s="302">
        <v>2.1817068603364649</v>
      </c>
      <c r="M1254" s="302">
        <v>2.8775645706650175</v>
      </c>
      <c r="N1254" s="302">
        <v>4.5494658111755752</v>
      </c>
      <c r="O1254" s="302">
        <f t="shared" si="534"/>
        <v>9.6087372421770567</v>
      </c>
    </row>
    <row r="1255" spans="1:15" s="236" customFormat="1" x14ac:dyDescent="0.3">
      <c r="A1255" s="237" t="str">
        <f>name!E$9</f>
        <v>Caring, leisure and other service occupations</v>
      </c>
      <c r="B1255" s="302">
        <v>11.096690692027694</v>
      </c>
      <c r="C1255" s="302">
        <v>9.6135922773298574</v>
      </c>
      <c r="D1255" s="302">
        <v>6.1888238795317427</v>
      </c>
      <c r="E1255" s="302">
        <f t="shared" si="532"/>
        <v>26.899106848889293</v>
      </c>
      <c r="F1255" s="303"/>
      <c r="G1255" s="302">
        <v>9.5410244499948806</v>
      </c>
      <c r="H1255" s="302">
        <v>7.5695781202874919</v>
      </c>
      <c r="I1255" s="302">
        <v>6.9217136860433621</v>
      </c>
      <c r="J1255" s="302">
        <f t="shared" ref="J1255:J1258" si="535">SUM(G1255:I1255)</f>
        <v>24.032316256325736</v>
      </c>
      <c r="K1255" s="303"/>
      <c r="L1255" s="302">
        <v>8.9372481334069693</v>
      </c>
      <c r="M1255" s="302">
        <v>6.7391235063912589</v>
      </c>
      <c r="N1255" s="302">
        <v>8.2686710461569479</v>
      </c>
      <c r="O1255" s="302">
        <f t="shared" si="534"/>
        <v>23.945042685955176</v>
      </c>
    </row>
    <row r="1256" spans="1:15" s="236" customFormat="1" x14ac:dyDescent="0.3">
      <c r="A1256" s="237" t="str">
        <f>name!E$10</f>
        <v>Sales and customer service occupations</v>
      </c>
      <c r="B1256" s="302">
        <v>3.3487503193318617</v>
      </c>
      <c r="C1256" s="302">
        <v>3.2675883421480032</v>
      </c>
      <c r="D1256" s="302">
        <v>2.1707649201045851</v>
      </c>
      <c r="E1256" s="302">
        <f t="shared" si="532"/>
        <v>8.78710358158445</v>
      </c>
      <c r="F1256" s="303"/>
      <c r="G1256" s="302">
        <v>2.6979918043428852</v>
      </c>
      <c r="H1256" s="302">
        <v>3.0259846860837323</v>
      </c>
      <c r="I1256" s="302">
        <v>1.5425471318044457</v>
      </c>
      <c r="J1256" s="302">
        <f t="shared" si="535"/>
        <v>7.2665236222310625</v>
      </c>
      <c r="K1256" s="303"/>
      <c r="L1256" s="302">
        <v>2.7392121128970843</v>
      </c>
      <c r="M1256" s="302">
        <v>3.3834271353584651</v>
      </c>
      <c r="N1256" s="302">
        <v>1.4803736276480985</v>
      </c>
      <c r="O1256" s="302">
        <f t="shared" si="534"/>
        <v>7.6030128759036479</v>
      </c>
    </row>
    <row r="1257" spans="1:15" s="236" customFormat="1" x14ac:dyDescent="0.3">
      <c r="A1257" s="237" t="str">
        <f>name!E$11</f>
        <v>Process, plant and machine operatives</v>
      </c>
      <c r="B1257" s="302">
        <v>1.1608314990535353</v>
      </c>
      <c r="C1257" s="302">
        <v>2.6704517991546459</v>
      </c>
      <c r="D1257" s="302">
        <v>1.9071022672905809</v>
      </c>
      <c r="E1257" s="302">
        <f t="shared" si="532"/>
        <v>5.7383855654987617</v>
      </c>
      <c r="F1257" s="303"/>
      <c r="G1257" s="302">
        <v>0.76519753930417023</v>
      </c>
      <c r="H1257" s="302">
        <v>2.1656254477116716</v>
      </c>
      <c r="I1257" s="302">
        <v>1.9507893062180983</v>
      </c>
      <c r="J1257" s="302">
        <f t="shared" si="535"/>
        <v>4.8816122932339407</v>
      </c>
      <c r="K1257" s="303"/>
      <c r="L1257" s="302">
        <v>0.65525576666579954</v>
      </c>
      <c r="M1257" s="302">
        <v>4.1746830643516031</v>
      </c>
      <c r="N1257" s="302">
        <v>1.4078208607868077</v>
      </c>
      <c r="O1257" s="302">
        <f t="shared" si="534"/>
        <v>6.2377596918042109</v>
      </c>
    </row>
    <row r="1258" spans="1:15" s="236" customFormat="1" x14ac:dyDescent="0.3">
      <c r="A1258" s="237" t="str">
        <f>name!E$12</f>
        <v>Elementary occupations</v>
      </c>
      <c r="B1258" s="302">
        <v>2.4538592645576758</v>
      </c>
      <c r="C1258" s="302">
        <v>18.899568087256146</v>
      </c>
      <c r="D1258" s="302">
        <v>7.3141539144568322</v>
      </c>
      <c r="E1258" s="302">
        <f t="shared" si="532"/>
        <v>28.667581266270652</v>
      </c>
      <c r="F1258" s="303"/>
      <c r="G1258" s="302">
        <v>1.7699991850954115</v>
      </c>
      <c r="H1258" s="302">
        <v>12.822586656289999</v>
      </c>
      <c r="I1258" s="302">
        <v>5.4987344605821908</v>
      </c>
      <c r="J1258" s="302">
        <f t="shared" si="535"/>
        <v>20.091320301967603</v>
      </c>
      <c r="K1258" s="303"/>
      <c r="L1258" s="302">
        <v>1.5316244107967552</v>
      </c>
      <c r="M1258" s="302">
        <v>6.5318303508080264</v>
      </c>
      <c r="N1258" s="302">
        <v>4.3989110435810108</v>
      </c>
      <c r="O1258" s="302">
        <f t="shared" si="534"/>
        <v>12.462365805185792</v>
      </c>
    </row>
    <row r="1259" spans="1:15" s="236" customFormat="1" x14ac:dyDescent="0.3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3">
      <c r="A1260" s="244" t="s">
        <v>32</v>
      </c>
      <c r="B1260" s="311">
        <f>SUM(B1250:B1258)</f>
        <v>156.49499999738632</v>
      </c>
      <c r="C1260" s="311">
        <f t="shared" ref="C1260:E1260" si="536">SUM(C1250:C1258)</f>
        <v>106.6549999998049</v>
      </c>
      <c r="D1260" s="311">
        <f t="shared" si="536"/>
        <v>100.55900000059773</v>
      </c>
      <c r="E1260" s="311">
        <f t="shared" si="536"/>
        <v>363.70899999778896</v>
      </c>
      <c r="F1260" s="311"/>
      <c r="G1260" s="311">
        <f t="shared" ref="G1260:J1260" si="537">SUM(G1250:G1258)</f>
        <v>147.40799999937101</v>
      </c>
      <c r="H1260" s="311">
        <f t="shared" si="537"/>
        <v>97.898000000091102</v>
      </c>
      <c r="I1260" s="311">
        <f t="shared" si="537"/>
        <v>96.191999999086008</v>
      </c>
      <c r="J1260" s="311">
        <f t="shared" si="537"/>
        <v>341.49799999854804</v>
      </c>
      <c r="K1260" s="311"/>
      <c r="L1260" s="311">
        <f t="shared" ref="L1260:O1260" si="538">SUM(L1250:L1258)</f>
        <v>149.51100000038781</v>
      </c>
      <c r="M1260" s="311">
        <f t="shared" si="538"/>
        <v>95.483999999875508</v>
      </c>
      <c r="N1260" s="311">
        <f t="shared" si="538"/>
        <v>96.483000002554959</v>
      </c>
      <c r="O1260" s="311">
        <f t="shared" si="538"/>
        <v>341.47800000281831</v>
      </c>
    </row>
    <row r="1261" spans="1:15" s="236" customFormat="1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3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3">
      <c r="A1264" s="241" t="str">
        <f>name!A77</f>
        <v>Repair of goods</v>
      </c>
      <c r="B1264" s="375">
        <f>$B$6</f>
        <v>2015</v>
      </c>
      <c r="C1264" s="375"/>
      <c r="D1264" s="375"/>
      <c r="E1264" s="375"/>
      <c r="F1264" s="263"/>
      <c r="G1264" s="375">
        <f>$G$6</f>
        <v>2020</v>
      </c>
      <c r="H1264" s="375"/>
      <c r="I1264" s="375"/>
      <c r="J1264" s="375"/>
      <c r="K1264" s="263"/>
      <c r="L1264" s="375">
        <f>$L$6</f>
        <v>2035</v>
      </c>
      <c r="M1264" s="375"/>
      <c r="N1264" s="375"/>
      <c r="O1264" s="375"/>
    </row>
    <row r="1265" spans="1:15" s="236" customFormat="1" x14ac:dyDescent="0.3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3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3">
      <c r="A1267" s="237" t="str">
        <f>name!E$4</f>
        <v>Managers, directors and senior officials</v>
      </c>
      <c r="B1267" s="302">
        <v>6.4031728611970777</v>
      </c>
      <c r="C1267" s="302">
        <v>0.13314418538355038</v>
      </c>
      <c r="D1267" s="302">
        <v>7.073121105469971</v>
      </c>
      <c r="E1267" s="302">
        <f>SUM(B1267:D1267)</f>
        <v>13.609438152050599</v>
      </c>
      <c r="F1267" s="303"/>
      <c r="G1267" s="302">
        <v>6.3186085710876663</v>
      </c>
      <c r="H1267" s="302">
        <v>0.26708787171987763</v>
      </c>
      <c r="I1267" s="302">
        <v>12.951438980440171</v>
      </c>
      <c r="J1267" s="302">
        <f>SUM(G1267:I1267)</f>
        <v>19.537135423247715</v>
      </c>
      <c r="K1267" s="303"/>
      <c r="L1267" s="302">
        <v>7.1185036444857248</v>
      </c>
      <c r="M1267" s="302">
        <v>0.328820436725281</v>
      </c>
      <c r="N1267" s="302">
        <v>14.930593604479887</v>
      </c>
      <c r="O1267" s="302">
        <f>SUM(L1267:N1267)</f>
        <v>22.377917685690893</v>
      </c>
    </row>
    <row r="1268" spans="1:15" s="236" customFormat="1" x14ac:dyDescent="0.3">
      <c r="A1268" s="237" t="str">
        <f>name!E$5</f>
        <v>Professional occupations</v>
      </c>
      <c r="B1268" s="302">
        <v>8.3346418073311117</v>
      </c>
      <c r="C1268" s="302">
        <v>0.20636691098223159</v>
      </c>
      <c r="D1268" s="302">
        <v>3.4954324736367473</v>
      </c>
      <c r="E1268" s="302">
        <f t="shared" ref="E1268:E1275" si="539">SUM(B1268:D1268)</f>
        <v>12.03644119195009</v>
      </c>
      <c r="F1268" s="303"/>
      <c r="G1268" s="302">
        <v>8.9911081287167942</v>
      </c>
      <c r="H1268" s="302">
        <v>0.37828614651565795</v>
      </c>
      <c r="I1268" s="302">
        <v>5.9488066728099076</v>
      </c>
      <c r="J1268" s="302">
        <f t="shared" ref="J1268:J1270" si="540">SUM(G1268:I1268)</f>
        <v>15.31820094804236</v>
      </c>
      <c r="K1268" s="303"/>
      <c r="L1268" s="302">
        <v>11.315843840289865</v>
      </c>
      <c r="M1268" s="302">
        <v>0.49860474893446305</v>
      </c>
      <c r="N1268" s="302">
        <v>5.2376335564990919</v>
      </c>
      <c r="O1268" s="302">
        <f t="shared" ref="O1268:O1275" si="541">SUM(L1268:N1268)</f>
        <v>17.052082145723421</v>
      </c>
    </row>
    <row r="1269" spans="1:15" s="236" customFormat="1" x14ac:dyDescent="0.3">
      <c r="A1269" s="237" t="str">
        <f>name!E$6</f>
        <v>Associate professional occupations</v>
      </c>
      <c r="B1269" s="302">
        <v>4.165778093839057</v>
      </c>
      <c r="C1269" s="302">
        <v>0.25409873875051026</v>
      </c>
      <c r="D1269" s="302">
        <v>1.9514289076324298</v>
      </c>
      <c r="E1269" s="302">
        <f t="shared" si="539"/>
        <v>6.371305740221997</v>
      </c>
      <c r="F1269" s="303"/>
      <c r="G1269" s="302">
        <v>4.2676181443854375</v>
      </c>
      <c r="H1269" s="302">
        <v>0.3934937101786885</v>
      </c>
      <c r="I1269" s="302">
        <v>3.1400666636982359</v>
      </c>
      <c r="J1269" s="302">
        <f t="shared" si="540"/>
        <v>7.8011785182623621</v>
      </c>
      <c r="K1269" s="303"/>
      <c r="L1269" s="302">
        <v>4.5338807791984568</v>
      </c>
      <c r="M1269" s="302">
        <v>0.43024563468803467</v>
      </c>
      <c r="N1269" s="302">
        <v>2.8689248750336107</v>
      </c>
      <c r="O1269" s="302">
        <f t="shared" si="541"/>
        <v>7.8330512889201023</v>
      </c>
    </row>
    <row r="1270" spans="1:15" s="236" customFormat="1" x14ac:dyDescent="0.3">
      <c r="A1270" s="237" t="str">
        <f>name!E$7</f>
        <v>Administrative and secretarial occupations</v>
      </c>
      <c r="B1270" s="302">
        <v>2.1346987740716745</v>
      </c>
      <c r="C1270" s="302">
        <v>0.33056385147521294</v>
      </c>
      <c r="D1270" s="302">
        <v>0.41137988237455253</v>
      </c>
      <c r="E1270" s="302">
        <f t="shared" si="539"/>
        <v>2.8766425079214399</v>
      </c>
      <c r="F1270" s="303"/>
      <c r="G1270" s="302">
        <v>2.1272783320907371</v>
      </c>
      <c r="H1270" s="302">
        <v>0.44479768097620492</v>
      </c>
      <c r="I1270" s="302">
        <v>0.63184565904845102</v>
      </c>
      <c r="J1270" s="302">
        <f t="shared" si="540"/>
        <v>3.2039216721153934</v>
      </c>
      <c r="K1270" s="303"/>
      <c r="L1270" s="302">
        <v>2.0544376161769229</v>
      </c>
      <c r="M1270" s="302">
        <v>0.41673528650691438</v>
      </c>
      <c r="N1270" s="302">
        <v>1.3815231574679423</v>
      </c>
      <c r="O1270" s="302">
        <f t="shared" si="541"/>
        <v>3.8526960601517795</v>
      </c>
    </row>
    <row r="1271" spans="1:15" s="236" customFormat="1" x14ac:dyDescent="0.3">
      <c r="A1271" s="237" t="str">
        <f>name!E$8</f>
        <v>Skilled trades occupations</v>
      </c>
      <c r="B1271" s="302">
        <v>2.2449627801777843</v>
      </c>
      <c r="C1271" s="302">
        <v>0.1391878614215207</v>
      </c>
      <c r="D1271" s="302">
        <v>3.506749573213086</v>
      </c>
      <c r="E1271" s="302">
        <f t="shared" si="539"/>
        <v>5.8909002148123903</v>
      </c>
      <c r="F1271" s="303"/>
      <c r="G1271" s="302">
        <v>1.5582339453898149</v>
      </c>
      <c r="H1271" s="302">
        <v>0.11947878608165255</v>
      </c>
      <c r="I1271" s="302">
        <v>5.6828457273192132</v>
      </c>
      <c r="J1271" s="302">
        <f>SUM(G1271:I1271)</f>
        <v>7.3605584587906812</v>
      </c>
      <c r="K1271" s="303"/>
      <c r="L1271" s="302">
        <v>1.4797212572517908</v>
      </c>
      <c r="M1271" s="302">
        <v>0.12206471317579166</v>
      </c>
      <c r="N1271" s="302">
        <v>7.0578607884448337</v>
      </c>
      <c r="O1271" s="302">
        <f t="shared" si="541"/>
        <v>8.659646758872416</v>
      </c>
    </row>
    <row r="1272" spans="1:15" s="236" customFormat="1" x14ac:dyDescent="0.3">
      <c r="A1272" s="237" t="str">
        <f>name!E$9</f>
        <v>Caring, leisure and other service occupations</v>
      </c>
      <c r="B1272" s="302">
        <v>0.27823779568845203</v>
      </c>
      <c r="C1272" s="302">
        <v>4.2526516307392827E-2</v>
      </c>
      <c r="D1272" s="302">
        <v>0.31136313973114138</v>
      </c>
      <c r="E1272" s="302">
        <f t="shared" si="539"/>
        <v>0.63212745172698626</v>
      </c>
      <c r="F1272" s="303"/>
      <c r="G1272" s="302">
        <v>0.26268058721506921</v>
      </c>
      <c r="H1272" s="302">
        <v>4.7054593491378048E-2</v>
      </c>
      <c r="I1272" s="302">
        <v>0.5903549964090713</v>
      </c>
      <c r="J1272" s="302">
        <f t="shared" ref="J1272:J1275" si="542">SUM(G1272:I1272)</f>
        <v>0.90009017711551853</v>
      </c>
      <c r="K1272" s="303"/>
      <c r="L1272" s="302">
        <v>0.32954943395342939</v>
      </c>
      <c r="M1272" s="302">
        <v>4.2958177424842009E-2</v>
      </c>
      <c r="N1272" s="302">
        <v>0.95169804117326184</v>
      </c>
      <c r="O1272" s="302">
        <f t="shared" si="541"/>
        <v>1.3242056525515333</v>
      </c>
    </row>
    <row r="1273" spans="1:15" s="236" customFormat="1" x14ac:dyDescent="0.3">
      <c r="A1273" s="237" t="str">
        <f>name!E$10</f>
        <v>Sales and customer service occupations</v>
      </c>
      <c r="B1273" s="302">
        <v>5.5497004107140935</v>
      </c>
      <c r="C1273" s="302">
        <v>4.0923124015494654</v>
      </c>
      <c r="D1273" s="302">
        <v>3.9397737031407796</v>
      </c>
      <c r="E1273" s="302">
        <f t="shared" si="539"/>
        <v>13.581786515404339</v>
      </c>
      <c r="F1273" s="303"/>
      <c r="G1273" s="302">
        <v>4.4942230092244158</v>
      </c>
      <c r="H1273" s="302">
        <v>5.1472719721992135</v>
      </c>
      <c r="I1273" s="302">
        <v>4.732306347555407</v>
      </c>
      <c r="J1273" s="302">
        <f t="shared" si="542"/>
        <v>14.373801328979038</v>
      </c>
      <c r="K1273" s="303"/>
      <c r="L1273" s="302">
        <v>3.0649969382107991</v>
      </c>
      <c r="M1273" s="302">
        <v>5.0526530787666726</v>
      </c>
      <c r="N1273" s="302">
        <v>3.2333403619244558</v>
      </c>
      <c r="O1273" s="302">
        <f t="shared" si="541"/>
        <v>11.350990378901926</v>
      </c>
    </row>
    <row r="1274" spans="1:15" s="236" customFormat="1" x14ac:dyDescent="0.3">
      <c r="A1274" s="237" t="str">
        <f>name!E$11</f>
        <v>Process, plant and machine operatives</v>
      </c>
      <c r="B1274" s="302">
        <v>1.747670202866437</v>
      </c>
      <c r="C1274" s="302">
        <v>0.14430564379204538</v>
      </c>
      <c r="D1274" s="302">
        <v>0.66885271809753044</v>
      </c>
      <c r="E1274" s="302">
        <f t="shared" si="539"/>
        <v>2.5608285647560129</v>
      </c>
      <c r="F1274" s="303"/>
      <c r="G1274" s="302">
        <v>1.1773437990855828</v>
      </c>
      <c r="H1274" s="302">
        <v>0.18439880389616059</v>
      </c>
      <c r="I1274" s="302">
        <v>1.0176385162940447</v>
      </c>
      <c r="J1274" s="302">
        <f t="shared" si="542"/>
        <v>2.3793811192757879</v>
      </c>
      <c r="K1274" s="303"/>
      <c r="L1274" s="302">
        <v>0.87712883636178962</v>
      </c>
      <c r="M1274" s="302">
        <v>0.27524587450235732</v>
      </c>
      <c r="N1274" s="302">
        <v>1.1275705800584697</v>
      </c>
      <c r="O1274" s="302">
        <f t="shared" si="541"/>
        <v>2.2799452909226163</v>
      </c>
    </row>
    <row r="1275" spans="1:15" s="236" customFormat="1" x14ac:dyDescent="0.3">
      <c r="A1275" s="237" t="str">
        <f>name!E$12</f>
        <v>Elementary occupations</v>
      </c>
      <c r="B1275" s="302">
        <v>3.1941372737306422</v>
      </c>
      <c r="C1275" s="302">
        <v>0.82749389057454092</v>
      </c>
      <c r="D1275" s="302">
        <v>0.22289849695195049</v>
      </c>
      <c r="E1275" s="302">
        <f t="shared" si="539"/>
        <v>4.2445296612571335</v>
      </c>
      <c r="F1275" s="303"/>
      <c r="G1275" s="302">
        <v>2.547905482497558</v>
      </c>
      <c r="H1275" s="302">
        <v>0.82213043510469985</v>
      </c>
      <c r="I1275" s="302">
        <v>0.3036964363318575</v>
      </c>
      <c r="J1275" s="302">
        <f t="shared" si="542"/>
        <v>3.6737323539341151</v>
      </c>
      <c r="K1275" s="303"/>
      <c r="L1275" s="302">
        <v>2.483937653874603</v>
      </c>
      <c r="M1275" s="302">
        <v>0.71667204923120997</v>
      </c>
      <c r="N1275" s="302">
        <v>0.4018550353831784</v>
      </c>
      <c r="O1275" s="302">
        <f t="shared" si="541"/>
        <v>3.6024647384889912</v>
      </c>
    </row>
    <row r="1276" spans="1:15" s="236" customFormat="1" x14ac:dyDescent="0.3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3">
      <c r="A1277" s="244" t="s">
        <v>32</v>
      </c>
      <c r="B1277" s="311">
        <f>SUM(B1267:B1275)</f>
        <v>34.052999999616326</v>
      </c>
      <c r="C1277" s="311">
        <f t="shared" ref="C1277:E1277" si="543">SUM(C1267:C1275)</f>
        <v>6.1700000002364703</v>
      </c>
      <c r="D1277" s="311">
        <f t="shared" si="543"/>
        <v>21.581000000248185</v>
      </c>
      <c r="E1277" s="311">
        <f t="shared" si="543"/>
        <v>61.804000000100991</v>
      </c>
      <c r="F1277" s="311"/>
      <c r="G1277" s="311">
        <f t="shared" ref="G1277:J1277" si="544">SUM(G1267:G1275)</f>
        <v>31.744999999693079</v>
      </c>
      <c r="H1277" s="311">
        <f t="shared" si="544"/>
        <v>7.8040000001635335</v>
      </c>
      <c r="I1277" s="311">
        <f t="shared" si="544"/>
        <v>34.998999999906353</v>
      </c>
      <c r="J1277" s="311">
        <f t="shared" si="544"/>
        <v>74.547999999762979</v>
      </c>
      <c r="K1277" s="311"/>
      <c r="L1277" s="311">
        <f t="shared" ref="L1277:O1277" si="545">SUM(L1267:L1275)</f>
        <v>33.257999999803381</v>
      </c>
      <c r="M1277" s="311">
        <f t="shared" si="545"/>
        <v>7.8839999999555674</v>
      </c>
      <c r="N1277" s="311">
        <f t="shared" si="545"/>
        <v>37.191000000464726</v>
      </c>
      <c r="O1277" s="311">
        <f t="shared" si="545"/>
        <v>78.333000000223677</v>
      </c>
    </row>
    <row r="1278" spans="1:15" s="236" customFormat="1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3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3">
      <c r="A1281" s="241" t="str">
        <f>name!A78</f>
        <v>Other personal service</v>
      </c>
      <c r="B1281" s="375">
        <f>$B$6</f>
        <v>2015</v>
      </c>
      <c r="C1281" s="375"/>
      <c r="D1281" s="375"/>
      <c r="E1281" s="375"/>
      <c r="F1281" s="263"/>
      <c r="G1281" s="375">
        <f>$G$6</f>
        <v>2020</v>
      </c>
      <c r="H1281" s="375"/>
      <c r="I1281" s="375"/>
      <c r="J1281" s="375"/>
      <c r="K1281" s="263"/>
      <c r="L1281" s="375">
        <f>$L$6</f>
        <v>2035</v>
      </c>
      <c r="M1281" s="375"/>
      <c r="N1281" s="375"/>
      <c r="O1281" s="375"/>
    </row>
    <row r="1282" spans="1:15" s="236" customFormat="1" x14ac:dyDescent="0.3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3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3">
      <c r="A1284" s="237" t="str">
        <f>name!E$4</f>
        <v>Managers, directors and senior officials</v>
      </c>
      <c r="B1284" s="302">
        <v>19.505226464769422</v>
      </c>
      <c r="C1284" s="302">
        <v>4.1394012736751886</v>
      </c>
      <c r="D1284" s="302">
        <v>12.198951489310012</v>
      </c>
      <c r="E1284" s="302">
        <f>SUM(B1284:D1284)</f>
        <v>35.843579227754624</v>
      </c>
      <c r="F1284" s="303"/>
      <c r="G1284" s="302">
        <v>20.575547964000997</v>
      </c>
      <c r="H1284" s="302">
        <v>6.8931084705131349</v>
      </c>
      <c r="I1284" s="302">
        <v>12.552665815761824</v>
      </c>
      <c r="J1284" s="302">
        <f>SUM(G1284:I1284)</f>
        <v>40.021322250275958</v>
      </c>
      <c r="K1284" s="303"/>
      <c r="L1284" s="302">
        <v>25.104272048459855</v>
      </c>
      <c r="M1284" s="302">
        <v>10.191184487791899</v>
      </c>
      <c r="N1284" s="302">
        <v>13.728758135323456</v>
      </c>
      <c r="O1284" s="302">
        <f>SUM(L1284:N1284)</f>
        <v>49.024214671575209</v>
      </c>
    </row>
    <row r="1285" spans="1:15" s="236" customFormat="1" x14ac:dyDescent="0.3">
      <c r="A1285" s="237" t="str">
        <f>name!E$5</f>
        <v>Professional occupations</v>
      </c>
      <c r="B1285" s="302">
        <v>17.530435971650171</v>
      </c>
      <c r="C1285" s="302">
        <v>5.1089715314534754</v>
      </c>
      <c r="D1285" s="302">
        <v>9.8228057090953058</v>
      </c>
      <c r="E1285" s="302">
        <f t="shared" ref="E1285:E1292" si="546">SUM(B1285:D1285)</f>
        <v>32.462213212198954</v>
      </c>
      <c r="F1285" s="303"/>
      <c r="G1285" s="302">
        <v>20.997764029805928</v>
      </c>
      <c r="H1285" s="302">
        <v>8.8658276189008269</v>
      </c>
      <c r="I1285" s="302">
        <v>12.098615304668389</v>
      </c>
      <c r="J1285" s="302">
        <f t="shared" ref="J1285:J1287" si="547">SUM(G1285:I1285)</f>
        <v>41.962206953375144</v>
      </c>
      <c r="K1285" s="303"/>
      <c r="L1285" s="302">
        <v>26.040447684963528</v>
      </c>
      <c r="M1285" s="302">
        <v>11.325962286449728</v>
      </c>
      <c r="N1285" s="302">
        <v>9.58237384711075</v>
      </c>
      <c r="O1285" s="302">
        <f t="shared" ref="O1285:O1292" si="548">SUM(L1285:N1285)</f>
        <v>46.948783818524007</v>
      </c>
    </row>
    <row r="1286" spans="1:15" s="236" customFormat="1" x14ac:dyDescent="0.3">
      <c r="A1286" s="237" t="str">
        <f>name!E$6</f>
        <v>Associate professional occupations</v>
      </c>
      <c r="B1286" s="302">
        <v>14.663070666335051</v>
      </c>
      <c r="C1286" s="302">
        <v>6.3947142551430858</v>
      </c>
      <c r="D1286" s="302">
        <v>18.659147948609942</v>
      </c>
      <c r="E1286" s="302">
        <f t="shared" si="546"/>
        <v>39.71693287008808</v>
      </c>
      <c r="F1286" s="303"/>
      <c r="G1286" s="302">
        <v>15.831660033876366</v>
      </c>
      <c r="H1286" s="302">
        <v>9.1272471733968317</v>
      </c>
      <c r="I1286" s="302">
        <v>23.016164066253587</v>
      </c>
      <c r="J1286" s="302">
        <f t="shared" si="547"/>
        <v>47.975071273526787</v>
      </c>
      <c r="K1286" s="303"/>
      <c r="L1286" s="302">
        <v>16.9975728587658</v>
      </c>
      <c r="M1286" s="302">
        <v>9.9014479152585135</v>
      </c>
      <c r="N1286" s="302">
        <v>20.526009296883064</v>
      </c>
      <c r="O1286" s="302">
        <f t="shared" si="548"/>
        <v>47.425030070907383</v>
      </c>
    </row>
    <row r="1287" spans="1:15" s="236" customFormat="1" x14ac:dyDescent="0.3">
      <c r="A1287" s="237" t="str">
        <f>name!E$7</f>
        <v>Administrative and secretarial occupations</v>
      </c>
      <c r="B1287" s="302">
        <v>9.46465648086523</v>
      </c>
      <c r="C1287" s="302">
        <v>10.716677134602021</v>
      </c>
      <c r="D1287" s="302">
        <v>1.1497777700645047</v>
      </c>
      <c r="E1287" s="302">
        <f t="shared" si="546"/>
        <v>21.331111385531756</v>
      </c>
      <c r="F1287" s="303"/>
      <c r="G1287" s="302">
        <v>10.101111990909537</v>
      </c>
      <c r="H1287" s="302">
        <v>13.470592523126266</v>
      </c>
      <c r="I1287" s="302">
        <v>1.2190112273369078</v>
      </c>
      <c r="J1287" s="302">
        <f t="shared" si="547"/>
        <v>24.790715741372708</v>
      </c>
      <c r="K1287" s="303"/>
      <c r="L1287" s="302">
        <v>9.5502207924613725</v>
      </c>
      <c r="M1287" s="302">
        <v>15.463502556747896</v>
      </c>
      <c r="N1287" s="302">
        <v>3.0514167815352464</v>
      </c>
      <c r="O1287" s="302">
        <f t="shared" si="548"/>
        <v>28.065140130744513</v>
      </c>
    </row>
    <row r="1288" spans="1:15" s="236" customFormat="1" x14ac:dyDescent="0.3">
      <c r="A1288" s="237" t="str">
        <f>name!E$8</f>
        <v>Skilled trades occupations</v>
      </c>
      <c r="B1288" s="302">
        <v>10.138797311193489</v>
      </c>
      <c r="C1288" s="302">
        <v>2.8405148193378045</v>
      </c>
      <c r="D1288" s="302">
        <v>7.4909443128947819</v>
      </c>
      <c r="E1288" s="302">
        <f t="shared" si="546"/>
        <v>20.470256443426077</v>
      </c>
      <c r="F1288" s="303"/>
      <c r="G1288" s="302">
        <v>8.3398958741559621</v>
      </c>
      <c r="H1288" s="302">
        <v>2.987188941494046</v>
      </c>
      <c r="I1288" s="302">
        <v>7.7205453228380518</v>
      </c>
      <c r="J1288" s="302">
        <f>SUM(G1288:I1288)</f>
        <v>19.04763013848806</v>
      </c>
      <c r="K1288" s="303"/>
      <c r="L1288" s="302">
        <v>8.7818245686127341</v>
      </c>
      <c r="M1288" s="302">
        <v>4.4655892507698409</v>
      </c>
      <c r="N1288" s="302">
        <v>10.1846924887454</v>
      </c>
      <c r="O1288" s="302">
        <f t="shared" si="548"/>
        <v>23.432106308127977</v>
      </c>
    </row>
    <row r="1289" spans="1:15" s="236" customFormat="1" x14ac:dyDescent="0.3">
      <c r="A1289" s="237" t="str">
        <f>name!E$9</f>
        <v>Caring, leisure and other service occupations</v>
      </c>
      <c r="B1289" s="302">
        <v>73.163813543142126</v>
      </c>
      <c r="C1289" s="302">
        <v>50.154310835049266</v>
      </c>
      <c r="D1289" s="302">
        <v>72.731775449605863</v>
      </c>
      <c r="E1289" s="302">
        <f t="shared" si="546"/>
        <v>196.04989982779725</v>
      </c>
      <c r="F1289" s="303"/>
      <c r="G1289" s="302">
        <v>67.547332487407957</v>
      </c>
      <c r="H1289" s="302">
        <v>45.949420432279439</v>
      </c>
      <c r="I1289" s="302">
        <v>93.362774671796231</v>
      </c>
      <c r="J1289" s="302">
        <f t="shared" ref="J1289:J1292" si="549">SUM(G1289:I1289)</f>
        <v>206.85952759148364</v>
      </c>
      <c r="K1289" s="303"/>
      <c r="L1289" s="302">
        <v>58.23854282913733</v>
      </c>
      <c r="M1289" s="302">
        <v>35.85628172830026</v>
      </c>
      <c r="N1289" s="302">
        <v>91.639815316264432</v>
      </c>
      <c r="O1289" s="302">
        <f t="shared" si="548"/>
        <v>185.73463987370201</v>
      </c>
    </row>
    <row r="1290" spans="1:15" s="236" customFormat="1" x14ac:dyDescent="0.3">
      <c r="A1290" s="237" t="str">
        <f>name!E$10</f>
        <v>Sales and customer service occupations</v>
      </c>
      <c r="B1290" s="302">
        <v>5.4967735003072411</v>
      </c>
      <c r="C1290" s="302">
        <v>7.5004928371571893</v>
      </c>
      <c r="D1290" s="302">
        <v>3.7680743634795224</v>
      </c>
      <c r="E1290" s="302">
        <f t="shared" si="546"/>
        <v>16.765340700943952</v>
      </c>
      <c r="F1290" s="303"/>
      <c r="G1290" s="302">
        <v>5.3127605277172245</v>
      </c>
      <c r="H1290" s="302">
        <v>8.7285598558886193</v>
      </c>
      <c r="I1290" s="302">
        <v>3.0328702553705456</v>
      </c>
      <c r="J1290" s="302">
        <f t="shared" si="549"/>
        <v>17.07419063897639</v>
      </c>
      <c r="K1290" s="303"/>
      <c r="L1290" s="302">
        <v>6.2915554523812878</v>
      </c>
      <c r="M1290" s="302">
        <v>9.5384596160879092</v>
      </c>
      <c r="N1290" s="302">
        <v>2.1881016822305392</v>
      </c>
      <c r="O1290" s="302">
        <f t="shared" si="548"/>
        <v>18.018116750699736</v>
      </c>
    </row>
    <row r="1291" spans="1:15" s="236" customFormat="1" x14ac:dyDescent="0.3">
      <c r="A1291" s="237" t="str">
        <f>name!E$11</f>
        <v>Process, plant and machine operatives</v>
      </c>
      <c r="B1291" s="302">
        <v>7.8416071320877991</v>
      </c>
      <c r="C1291" s="302">
        <v>3.5105551463840281</v>
      </c>
      <c r="D1291" s="302">
        <v>1.1777235805026094</v>
      </c>
      <c r="E1291" s="302">
        <f t="shared" si="546"/>
        <v>12.529885858974437</v>
      </c>
      <c r="F1291" s="303"/>
      <c r="G1291" s="302">
        <v>6.5248340208856979</v>
      </c>
      <c r="H1291" s="302">
        <v>3.8390844152480912</v>
      </c>
      <c r="I1291" s="302">
        <v>1.3945745338110427</v>
      </c>
      <c r="J1291" s="302">
        <f t="shared" si="549"/>
        <v>11.758492969944831</v>
      </c>
      <c r="K1291" s="303"/>
      <c r="L1291" s="302">
        <v>5.8097898052009143</v>
      </c>
      <c r="M1291" s="302">
        <v>3.8706471587831133</v>
      </c>
      <c r="N1291" s="302">
        <v>1.3740934208600502</v>
      </c>
      <c r="O1291" s="302">
        <f t="shared" si="548"/>
        <v>11.054530384844078</v>
      </c>
    </row>
    <row r="1292" spans="1:15" s="236" customFormat="1" x14ac:dyDescent="0.3">
      <c r="A1292" s="237" t="str">
        <f>name!E$12</f>
        <v>Elementary occupations</v>
      </c>
      <c r="B1292" s="302">
        <v>14.39061892951417</v>
      </c>
      <c r="C1292" s="302">
        <v>13.674362168543851</v>
      </c>
      <c r="D1292" s="302">
        <v>6.6787993798468577</v>
      </c>
      <c r="E1292" s="302">
        <f t="shared" si="546"/>
        <v>34.743780477904878</v>
      </c>
      <c r="F1292" s="303"/>
      <c r="G1292" s="302">
        <v>12.42209307111211</v>
      </c>
      <c r="H1292" s="302">
        <v>13.483970570206159</v>
      </c>
      <c r="I1292" s="302">
        <v>4.8667788002628329</v>
      </c>
      <c r="J1292" s="302">
        <f t="shared" si="549"/>
        <v>30.772842441581101</v>
      </c>
      <c r="K1292" s="303"/>
      <c r="L1292" s="302">
        <v>12.46777395979753</v>
      </c>
      <c r="M1292" s="302">
        <v>9.3489249993361838</v>
      </c>
      <c r="N1292" s="302">
        <v>4.7537390325112447</v>
      </c>
      <c r="O1292" s="302">
        <f t="shared" si="548"/>
        <v>26.570437991644958</v>
      </c>
    </row>
    <row r="1293" spans="1:15" s="236" customFormat="1" x14ac:dyDescent="0.3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3">
      <c r="A1294" s="244" t="s">
        <v>32</v>
      </c>
      <c r="B1294" s="311">
        <f>SUM(B1284:B1292)</f>
        <v>172.19499999986468</v>
      </c>
      <c r="C1294" s="311">
        <f t="shared" ref="C1294:E1294" si="550">SUM(C1284:C1292)</f>
        <v>104.0400000013459</v>
      </c>
      <c r="D1294" s="311">
        <f t="shared" si="550"/>
        <v>133.67800000340941</v>
      </c>
      <c r="E1294" s="311">
        <f t="shared" si="550"/>
        <v>409.91300000462002</v>
      </c>
      <c r="F1294" s="311"/>
      <c r="G1294" s="311">
        <f t="shared" ref="G1294:J1294" si="551">SUM(G1284:G1292)</f>
        <v>167.65299999987175</v>
      </c>
      <c r="H1294" s="311">
        <f t="shared" si="551"/>
        <v>113.34500000105341</v>
      </c>
      <c r="I1294" s="311">
        <f t="shared" si="551"/>
        <v>159.26399999809939</v>
      </c>
      <c r="J1294" s="311">
        <f t="shared" si="551"/>
        <v>440.26199999902462</v>
      </c>
      <c r="K1294" s="311"/>
      <c r="L1294" s="311">
        <f t="shared" ref="L1294:O1294" si="552">SUM(L1284:L1292)</f>
        <v>169.2819999997804</v>
      </c>
      <c r="M1294" s="311">
        <f t="shared" si="552"/>
        <v>109.96199999952535</v>
      </c>
      <c r="N1294" s="311">
        <f t="shared" si="552"/>
        <v>157.0290000014642</v>
      </c>
      <c r="O1294" s="311">
        <f t="shared" si="552"/>
        <v>436.27300000076985</v>
      </c>
    </row>
    <row r="1295" spans="1:15" s="236" customFormat="1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45" x14ac:dyDescent="0.3"/>
  <cols>
    <col min="1" max="1" width="44.69140625" customWidth="1"/>
    <col min="2" max="6" width="10" customWidth="1"/>
    <col min="7" max="7" width="6.69140625" customWidth="1"/>
    <col min="8" max="10" width="13" customWidth="1"/>
    <col min="11" max="11" width="17" customWidth="1"/>
    <col min="12" max="12" width="44.69140625" customWidth="1"/>
    <col min="13" max="17" width="10" customWidth="1"/>
    <col min="18" max="18" width="6.69140625" customWidth="1"/>
    <col min="19" max="21" width="13" customWidth="1"/>
    <col min="22" max="22" width="16.15234375" customWidth="1"/>
    <col min="23" max="23" width="44.69140625" customWidth="1"/>
    <col min="24" max="28" width="10" customWidth="1"/>
    <col min="29" max="29" width="6.69140625" customWidth="1"/>
    <col min="30" max="32" width="13" customWidth="1"/>
  </cols>
  <sheetData>
    <row r="1" spans="1:32" ht="15.45" x14ac:dyDescent="0.4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England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England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England</v>
      </c>
    </row>
    <row r="2" spans="1:32" x14ac:dyDescent="0.3">
      <c r="A2" s="1" t="s">
        <v>534</v>
      </c>
    </row>
    <row r="3" spans="1:32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3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3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3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3">
      <c r="A8" t="str">
        <f>name!E4</f>
        <v>Managers, directors and senior officials</v>
      </c>
      <c r="B8" s="11">
        <f t="array" ref="B8:B16">MMULT(aggregation!$B$38:$AA$46,'Occ T2'!B8:B33)</f>
        <v>2822.9549666207236</v>
      </c>
      <c r="C8" s="11">
        <f t="array" ref="C8:C16">MMULT(aggregation!$B$38:$AA$46,'Occ T2'!C8:C33)</f>
        <v>3241.7877031892972</v>
      </c>
      <c r="D8" s="11">
        <f t="array" ref="D8:D16">MMULT(aggregation!$B$38:$AA$46,'Occ T2'!D8:D33)</f>
        <v>3297.9630650025738</v>
      </c>
      <c r="E8" s="11">
        <f t="array" ref="E8:E16">MMULT(aggregation!$B$38:$AA$46,'Occ T2'!E8:E33)</f>
        <v>3401.668012903142</v>
      </c>
      <c r="F8" s="11">
        <f t="array" ref="F8:F16">MMULT(aggregation!$B$38:$AA$46,'Occ T2'!F8:F33)</f>
        <v>3797.1617057796548</v>
      </c>
      <c r="G8" s="11"/>
      <c r="H8" s="11">
        <f>F8-D8</f>
        <v>499.19864077708098</v>
      </c>
      <c r="I8" s="11">
        <f t="array" ref="I8:I16">MMULT(aggregation!$B$38:$AA$46,'Occ T2'!I8:I33)</f>
        <v>1871.1338239904176</v>
      </c>
      <c r="J8" s="11">
        <f>SUM(H8:I8)</f>
        <v>2370.3324647674985</v>
      </c>
      <c r="L8" s="10" t="str">
        <f>name!E4</f>
        <v>Managers, directors and senior officials</v>
      </c>
      <c r="M8" s="11">
        <f t="array" ref="M8:M16">MMULT(aggregation!$B$38:$AA$46,'Occ T2'!M8:M33)</f>
        <v>1873.7942274513753</v>
      </c>
      <c r="N8" s="11">
        <f t="array" ref="N8:N16">MMULT(aggregation!$B$38:$AA$46,'Occ T2'!N8:N33)</f>
        <v>2090.8482221630984</v>
      </c>
      <c r="O8" s="11">
        <f t="array" ref="O8:O16">MMULT(aggregation!$B$38:$AA$46,'Occ T2'!O8:O33)</f>
        <v>2099.3158911491046</v>
      </c>
      <c r="P8" s="11">
        <f t="array" ref="P8:P16">MMULT(aggregation!$B$38:$AA$46,'Occ T2'!P8:P33)</f>
        <v>2121.8211711170038</v>
      </c>
      <c r="Q8" s="11">
        <f t="array" ref="Q8:Q16">MMULT(aggregation!$B$38:$AA$46,'Occ T2'!Q8:Q33)</f>
        <v>2301.1325960981867</v>
      </c>
      <c r="R8" s="11"/>
      <c r="S8" s="11">
        <f>Q8-O8</f>
        <v>201.81670494908212</v>
      </c>
      <c r="T8" s="11">
        <f t="array" ref="T8:T16">MMULT(aggregation!$B$38:$AA$46,'Occ T2'!T8:T33)</f>
        <v>1050.9391739899638</v>
      </c>
      <c r="U8" s="11">
        <f>SUM(S8:T8)</f>
        <v>1252.7558789390459</v>
      </c>
      <c r="W8" s="10" t="str">
        <f>name!E4</f>
        <v>Managers, directors and senior officials</v>
      </c>
      <c r="X8" s="11">
        <f t="array" ref="X8:X16">MMULT(aggregation!$B$38:$AA$46,'Occ T2'!X8:X33)</f>
        <v>949.16073916934988</v>
      </c>
      <c r="Y8" s="11">
        <f t="array" ref="Y8:Y16">MMULT(aggregation!$B$38:$AA$46,'Occ T2'!Y8:Y33)</f>
        <v>1150.9394810261999</v>
      </c>
      <c r="Z8" s="11">
        <f t="array" ref="Z8:Z16">MMULT(aggregation!$B$38:$AA$46,'Occ T2'!Z8:Z33)</f>
        <v>1198.6471738534672</v>
      </c>
      <c r="AA8" s="11">
        <f t="array" ref="AA8:AA16">MMULT(aggregation!$B$38:$AA$46,'Occ T2'!AA8:AA33)</f>
        <v>1279.8468417861368</v>
      </c>
      <c r="AB8" s="11">
        <f t="array" ref="AB8:AB16">MMULT(aggregation!$B$38:$AA$46,'Occ T2'!AB8:AB33)</f>
        <v>1496.0291096814708</v>
      </c>
      <c r="AC8" s="11"/>
      <c r="AD8" s="11">
        <f>AB8-Z8</f>
        <v>297.38193582800363</v>
      </c>
      <c r="AE8" s="11">
        <f t="array" ref="AE8:AE16">MMULT(aggregation!$B$38:$AA$46,'Occ T2'!AE8:AE33)</f>
        <v>820.19465000045375</v>
      </c>
      <c r="AF8" s="11">
        <f>SUM(AD8:AE8)</f>
        <v>1117.5765858284574</v>
      </c>
    </row>
    <row r="9" spans="1:32" x14ac:dyDescent="0.3">
      <c r="A9" t="str">
        <f>name!E5</f>
        <v>Professional occupations</v>
      </c>
      <c r="B9" s="11">
        <v>5913.2437820431551</v>
      </c>
      <c r="C9" s="11">
        <v>6746.1756140652815</v>
      </c>
      <c r="D9" s="11">
        <v>7042.9080467763579</v>
      </c>
      <c r="E9" s="11">
        <v>7617.8402642532928</v>
      </c>
      <c r="F9" s="11">
        <v>8412.6838694340058</v>
      </c>
      <c r="G9" s="11"/>
      <c r="H9" s="11">
        <f t="shared" ref="H9:H16" si="0">F9-D9</f>
        <v>1369.775822657648</v>
      </c>
      <c r="I9" s="11">
        <v>3653.642575551803</v>
      </c>
      <c r="J9" s="11">
        <f t="shared" ref="J9:J15" si="1">SUM(H9:I9)</f>
        <v>5023.418398209451</v>
      </c>
      <c r="L9" s="10" t="str">
        <f>name!E5</f>
        <v>Professional occupations</v>
      </c>
      <c r="M9" s="11">
        <v>3072.3892429772986</v>
      </c>
      <c r="N9" s="11">
        <v>3464.5467640447359</v>
      </c>
      <c r="O9" s="11">
        <v>3578.280126945675</v>
      </c>
      <c r="P9" s="11">
        <v>3845.5850863594351</v>
      </c>
      <c r="Q9" s="11">
        <v>4167.7354910019394</v>
      </c>
      <c r="R9" s="11"/>
      <c r="S9" s="11">
        <f t="shared" ref="S9:S16" si="2">Q9-O9</f>
        <v>589.45536405626444</v>
      </c>
      <c r="T9" s="11">
        <v>1497.8684080016683</v>
      </c>
      <c r="U9" s="11">
        <f t="shared" ref="U9:U12" si="3">SUM(S9:T9)</f>
        <v>2087.3237720579327</v>
      </c>
      <c r="W9" s="10" t="str">
        <f>name!E5</f>
        <v>Professional occupations</v>
      </c>
      <c r="X9" s="11">
        <v>2840.854539065856</v>
      </c>
      <c r="Y9" s="11">
        <v>3281.6288500205555</v>
      </c>
      <c r="Z9" s="11">
        <v>3464.6279198306847</v>
      </c>
      <c r="AA9" s="11">
        <v>3772.2551778938523</v>
      </c>
      <c r="AB9" s="11">
        <v>4244.9483784320573</v>
      </c>
      <c r="AC9" s="11"/>
      <c r="AD9" s="11">
        <f t="shared" ref="AD9:AD16" si="4">AB9-Z9</f>
        <v>780.32045860137259</v>
      </c>
      <c r="AE9" s="11">
        <v>2155.7741675501347</v>
      </c>
      <c r="AF9" s="11">
        <f t="shared" ref="AF9:AF12" si="5">SUM(AD9:AE9)</f>
        <v>2936.0946261515073</v>
      </c>
    </row>
    <row r="10" spans="1:32" x14ac:dyDescent="0.3">
      <c r="A10" t="str">
        <f>name!E6</f>
        <v>Associate professional occupations</v>
      </c>
      <c r="B10" s="11">
        <v>3673.0788633877009</v>
      </c>
      <c r="C10" s="11">
        <v>3966.2899027660596</v>
      </c>
      <c r="D10" s="11">
        <v>4152.3256176523755</v>
      </c>
      <c r="E10" s="11">
        <v>4085.2103165469375</v>
      </c>
      <c r="F10" s="11">
        <v>4393.8811791663111</v>
      </c>
      <c r="G10" s="11"/>
      <c r="H10" s="11">
        <f t="shared" si="0"/>
        <v>241.55556151393557</v>
      </c>
      <c r="I10" s="11">
        <v>1930.848582645353</v>
      </c>
      <c r="J10" s="11">
        <f t="shared" si="1"/>
        <v>2172.4041441592885</v>
      </c>
      <c r="L10" s="10" t="str">
        <f>name!E6</f>
        <v>Associate professional occupations</v>
      </c>
      <c r="M10" s="11">
        <v>1992.8277048640798</v>
      </c>
      <c r="N10" s="11">
        <v>2117.7596872654435</v>
      </c>
      <c r="O10" s="11">
        <v>2197.6517859200967</v>
      </c>
      <c r="P10" s="11">
        <v>2079.8775537043139</v>
      </c>
      <c r="Q10" s="11">
        <v>2153.9706356781317</v>
      </c>
      <c r="R10" s="11"/>
      <c r="S10" s="11">
        <f t="shared" si="2"/>
        <v>-43.681150241965042</v>
      </c>
      <c r="T10" s="11">
        <v>798.159701842186</v>
      </c>
      <c r="U10" s="11">
        <f t="shared" si="3"/>
        <v>754.47855160022095</v>
      </c>
      <c r="W10" s="10" t="str">
        <f>name!E6</f>
        <v>Associate professional occupations</v>
      </c>
      <c r="X10" s="11">
        <v>1680.2511585236171</v>
      </c>
      <c r="Y10" s="11">
        <v>1848.5302155006125</v>
      </c>
      <c r="Z10" s="11">
        <v>1954.6738317322806</v>
      </c>
      <c r="AA10" s="11">
        <v>2005.3327628426305</v>
      </c>
      <c r="AB10" s="11">
        <v>2239.9105434881808</v>
      </c>
      <c r="AC10" s="11"/>
      <c r="AD10" s="11">
        <f t="shared" si="4"/>
        <v>285.23671175590016</v>
      </c>
      <c r="AE10" s="11">
        <v>1132.6888808031676</v>
      </c>
      <c r="AF10" s="11">
        <f t="shared" si="5"/>
        <v>1417.9255925590678</v>
      </c>
    </row>
    <row r="11" spans="1:32" x14ac:dyDescent="0.3">
      <c r="A11" t="str">
        <f>name!E7</f>
        <v>Administrative and secretarial occupations</v>
      </c>
      <c r="B11" s="11">
        <v>3149.4937606467925</v>
      </c>
      <c r="C11" s="11">
        <v>3060.9066259906567</v>
      </c>
      <c r="D11" s="11">
        <v>3147.0303376748875</v>
      </c>
      <c r="E11" s="11">
        <v>2968.9679970158159</v>
      </c>
      <c r="F11" s="11">
        <v>2720.1220560833954</v>
      </c>
      <c r="G11" s="11"/>
      <c r="H11" s="11">
        <f t="shared" si="0"/>
        <v>-426.90828159149214</v>
      </c>
      <c r="I11" s="11">
        <v>1465.5565396755901</v>
      </c>
      <c r="J11" s="11">
        <f t="shared" si="1"/>
        <v>1038.648258084098</v>
      </c>
      <c r="L11" s="10" t="str">
        <f>name!E7</f>
        <v>Administrative and secretarial occupations</v>
      </c>
      <c r="M11" s="11">
        <v>773.93002752520397</v>
      </c>
      <c r="N11" s="11">
        <v>731.0830009992651</v>
      </c>
      <c r="O11" s="11">
        <v>856.65149379899708</v>
      </c>
      <c r="P11" s="11">
        <v>828.31911166456541</v>
      </c>
      <c r="Q11" s="11">
        <v>900.61709572787379</v>
      </c>
      <c r="R11" s="11"/>
      <c r="S11" s="11">
        <f t="shared" si="2"/>
        <v>43.965601928876708</v>
      </c>
      <c r="T11" s="11">
        <v>317.47869194373374</v>
      </c>
      <c r="U11" s="11">
        <f t="shared" si="3"/>
        <v>361.44429387261044</v>
      </c>
      <c r="W11" s="10" t="str">
        <f>name!E7</f>
        <v>Administrative and secretarial occupations</v>
      </c>
      <c r="X11" s="11">
        <v>2375.5637331215826</v>
      </c>
      <c r="Y11" s="11">
        <v>2329.8236249913875</v>
      </c>
      <c r="Z11" s="11">
        <v>2290.3788438758825</v>
      </c>
      <c r="AA11" s="11">
        <v>2140.6488853512487</v>
      </c>
      <c r="AB11" s="11">
        <v>1819.5049603555219</v>
      </c>
      <c r="AC11" s="11"/>
      <c r="AD11" s="11">
        <f t="shared" si="4"/>
        <v>-470.87388352036055</v>
      </c>
      <c r="AE11" s="11">
        <v>1148.0778477318568</v>
      </c>
      <c r="AF11" s="11">
        <f t="shared" si="5"/>
        <v>677.20396421149621</v>
      </c>
    </row>
    <row r="12" spans="1:32" x14ac:dyDescent="0.3">
      <c r="A12" t="str">
        <f>name!E8</f>
        <v>Skilled trades occupations</v>
      </c>
      <c r="B12" s="11">
        <v>2889.6909563037434</v>
      </c>
      <c r="C12" s="11">
        <v>2850.7714544337691</v>
      </c>
      <c r="D12" s="11">
        <v>2510.2782475953591</v>
      </c>
      <c r="E12" s="11">
        <v>2554.2376173672178</v>
      </c>
      <c r="F12" s="11">
        <v>2494.1382265499906</v>
      </c>
      <c r="G12" s="11"/>
      <c r="H12" s="11">
        <f t="shared" si="0"/>
        <v>-16.140021045368485</v>
      </c>
      <c r="I12" s="11">
        <v>1077.9783272987311</v>
      </c>
      <c r="J12" s="11">
        <f t="shared" si="1"/>
        <v>1061.8383062533626</v>
      </c>
      <c r="L12" s="10" t="str">
        <f>name!E8</f>
        <v>Skilled trades occupations</v>
      </c>
      <c r="M12" s="11">
        <v>2579.9320586691183</v>
      </c>
      <c r="N12" s="11">
        <v>2539.4323754248571</v>
      </c>
      <c r="O12" s="11">
        <v>2187.4452258737019</v>
      </c>
      <c r="P12" s="11">
        <v>2191.3415372348245</v>
      </c>
      <c r="Q12" s="11">
        <v>2093.9171266029716</v>
      </c>
      <c r="R12" s="11"/>
      <c r="S12" s="11">
        <f t="shared" si="2"/>
        <v>-93.528099270730308</v>
      </c>
      <c r="T12" s="11">
        <v>856.59559405461096</v>
      </c>
      <c r="U12" s="11">
        <f t="shared" si="3"/>
        <v>763.06749478388065</v>
      </c>
      <c r="W12" s="10" t="str">
        <f>name!E8</f>
        <v>Skilled trades occupations</v>
      </c>
      <c r="X12" s="11">
        <v>309.75889763462612</v>
      </c>
      <c r="Y12" s="11">
        <v>311.33907900891671</v>
      </c>
      <c r="Z12" s="11">
        <v>322.83302172166185</v>
      </c>
      <c r="AA12" s="11">
        <v>362.89608013239194</v>
      </c>
      <c r="AB12" s="11">
        <v>400.22109994701958</v>
      </c>
      <c r="AC12" s="11"/>
      <c r="AD12" s="11">
        <f t="shared" si="4"/>
        <v>77.388078225357731</v>
      </c>
      <c r="AE12" s="11">
        <v>221.3827332441202</v>
      </c>
      <c r="AF12" s="11">
        <f t="shared" si="5"/>
        <v>298.77081146947796</v>
      </c>
    </row>
    <row r="13" spans="1:32" x14ac:dyDescent="0.3">
      <c r="A13" t="str">
        <f>name!E9</f>
        <v>Caring, leisure and other service occupations</v>
      </c>
      <c r="B13" s="11">
        <v>2686.476945366268</v>
      </c>
      <c r="C13" s="11">
        <v>2794.9761350106005</v>
      </c>
      <c r="D13" s="11">
        <v>2683.1938804533893</v>
      </c>
      <c r="E13" s="11">
        <v>2869.9409146651319</v>
      </c>
      <c r="F13" s="11">
        <v>3104.1211527286227</v>
      </c>
      <c r="G13" s="11"/>
      <c r="H13" s="11">
        <f t="shared" si="0"/>
        <v>420.92727227523346</v>
      </c>
      <c r="I13" s="11">
        <v>1601.4027177290989</v>
      </c>
      <c r="J13" s="11">
        <f>SUM(H13:I13)</f>
        <v>2022.3299900043323</v>
      </c>
      <c r="L13" s="10" t="str">
        <f>name!E9</f>
        <v>Caring, leisure and other service occupations</v>
      </c>
      <c r="M13" s="11">
        <v>518.23171046895413</v>
      </c>
      <c r="N13" s="11">
        <v>547.08686820136268</v>
      </c>
      <c r="O13" s="11">
        <v>534.82078114805563</v>
      </c>
      <c r="P13" s="11">
        <v>606.28171955500318</v>
      </c>
      <c r="Q13" s="11">
        <v>692.52403663346161</v>
      </c>
      <c r="R13" s="11"/>
      <c r="S13" s="11">
        <f t="shared" si="2"/>
        <v>157.70325548540598</v>
      </c>
      <c r="T13" s="11">
        <v>276.5734043308388</v>
      </c>
      <c r="U13" s="11">
        <f>SUM(S13:T13)</f>
        <v>434.27665981624477</v>
      </c>
      <c r="W13" s="10" t="str">
        <f>name!E9</f>
        <v>Caring, leisure and other service occupations</v>
      </c>
      <c r="X13" s="11">
        <v>2168.2452348973106</v>
      </c>
      <c r="Y13" s="11">
        <v>2247.8892668092344</v>
      </c>
      <c r="Z13" s="11">
        <v>2148.373099305335</v>
      </c>
      <c r="AA13" s="11">
        <v>2263.6591951101323</v>
      </c>
      <c r="AB13" s="11">
        <v>2411.5971160951635</v>
      </c>
      <c r="AC13" s="11"/>
      <c r="AD13" s="11">
        <f t="shared" si="4"/>
        <v>263.22401678982851</v>
      </c>
      <c r="AE13" s="11">
        <v>1324.82931339826</v>
      </c>
      <c r="AF13" s="11">
        <f>SUM(AD13:AE13)</f>
        <v>1588.0533301880885</v>
      </c>
    </row>
    <row r="14" spans="1:32" x14ac:dyDescent="0.3">
      <c r="A14" t="str">
        <f>name!E10</f>
        <v>Sales and customer service occupations</v>
      </c>
      <c r="B14" s="11">
        <v>2451.7146582710288</v>
      </c>
      <c r="C14" s="11">
        <v>2391.0620840559268</v>
      </c>
      <c r="D14" s="11">
        <v>2362.3332816348438</v>
      </c>
      <c r="E14" s="11">
        <v>2379.1398631656634</v>
      </c>
      <c r="F14" s="11">
        <v>2388.7952867984582</v>
      </c>
      <c r="G14" s="11"/>
      <c r="H14" s="11">
        <f t="shared" si="0"/>
        <v>26.462005163614322</v>
      </c>
      <c r="I14" s="11">
        <v>1092.5052555225136</v>
      </c>
      <c r="J14" s="11">
        <f t="shared" si="1"/>
        <v>1118.9672606861279</v>
      </c>
      <c r="L14" s="10" t="str">
        <f>name!E10</f>
        <v>Sales and customer service occupations</v>
      </c>
      <c r="M14" s="11">
        <v>975.18046757689456</v>
      </c>
      <c r="N14" s="11">
        <v>959.59239540252474</v>
      </c>
      <c r="O14" s="11">
        <v>969.66952378140809</v>
      </c>
      <c r="P14" s="11">
        <v>1002.2140935395429</v>
      </c>
      <c r="Q14" s="11">
        <v>1037.6507898684765</v>
      </c>
      <c r="R14" s="11"/>
      <c r="S14" s="11">
        <f t="shared" si="2"/>
        <v>67.981266087068434</v>
      </c>
      <c r="T14" s="11">
        <v>342.25005497876469</v>
      </c>
      <c r="U14" s="11">
        <f t="shared" ref="U14:U15" si="6">SUM(S14:T14)</f>
        <v>410.23132106583313</v>
      </c>
      <c r="W14" s="10" t="str">
        <f>name!E10</f>
        <v>Sales and customer service occupations</v>
      </c>
      <c r="X14" s="11">
        <v>1476.5341906941371</v>
      </c>
      <c r="Y14" s="11">
        <v>1431.4696886534025</v>
      </c>
      <c r="Z14" s="11">
        <v>1392.6637578534344</v>
      </c>
      <c r="AA14" s="11">
        <v>1376.9257696261259</v>
      </c>
      <c r="AB14" s="11">
        <v>1351.1444969299823</v>
      </c>
      <c r="AC14" s="11"/>
      <c r="AD14" s="11">
        <f t="shared" si="4"/>
        <v>-41.519260923452066</v>
      </c>
      <c r="AE14" s="11">
        <v>750.25520054374897</v>
      </c>
      <c r="AF14" s="11">
        <f t="shared" ref="AF14:AF15" si="7">SUM(AD14:AE14)</f>
        <v>708.7359396202969</v>
      </c>
    </row>
    <row r="15" spans="1:32" x14ac:dyDescent="0.3">
      <c r="A15" t="str">
        <f>name!E11</f>
        <v>Process, plant and machine operatives</v>
      </c>
      <c r="B15" s="11">
        <v>1767.3257043641233</v>
      </c>
      <c r="C15" s="11">
        <v>1870.5480838882245</v>
      </c>
      <c r="D15" s="11">
        <v>1662.1375442945014</v>
      </c>
      <c r="E15" s="11">
        <v>1867.9319690347922</v>
      </c>
      <c r="F15" s="11">
        <v>1852.0872704524211</v>
      </c>
      <c r="G15" s="11"/>
      <c r="H15" s="11">
        <f t="shared" si="0"/>
        <v>189.94972615791971</v>
      </c>
      <c r="I15" s="11">
        <v>874.97904729505706</v>
      </c>
      <c r="J15" s="11">
        <f t="shared" si="1"/>
        <v>1064.9287734529767</v>
      </c>
      <c r="L15" s="10" t="str">
        <f>name!E11</f>
        <v>Process, plant and machine operatives</v>
      </c>
      <c r="M15" s="11">
        <v>1545.6588392032829</v>
      </c>
      <c r="N15" s="11">
        <v>1641.378003381878</v>
      </c>
      <c r="O15" s="11">
        <v>1459.4792278322434</v>
      </c>
      <c r="P15" s="11">
        <v>1599.9067615982372</v>
      </c>
      <c r="Q15" s="11">
        <v>1568.3089691822011</v>
      </c>
      <c r="R15" s="11"/>
      <c r="S15" s="11">
        <f t="shared" si="2"/>
        <v>108.82974134995766</v>
      </c>
      <c r="T15" s="11">
        <v>732.32547638042161</v>
      </c>
      <c r="U15" s="11">
        <f t="shared" si="6"/>
        <v>841.15521773037926</v>
      </c>
      <c r="W15" s="10" t="str">
        <f>name!E11</f>
        <v>Process, plant and machine operatives</v>
      </c>
      <c r="X15" s="11">
        <v>221.66686516083925</v>
      </c>
      <c r="Y15" s="11">
        <v>229.17008050634479</v>
      </c>
      <c r="Z15" s="11">
        <v>202.65831646225831</v>
      </c>
      <c r="AA15" s="11">
        <v>268.02520743655623</v>
      </c>
      <c r="AB15" s="11">
        <v>283.77830127022298</v>
      </c>
      <c r="AC15" s="11"/>
      <c r="AD15" s="11">
        <f t="shared" si="4"/>
        <v>81.11998480796467</v>
      </c>
      <c r="AE15" s="11">
        <v>142.65357091463534</v>
      </c>
      <c r="AF15" s="11">
        <f t="shared" si="7"/>
        <v>223.77355572260001</v>
      </c>
    </row>
    <row r="16" spans="1:32" x14ac:dyDescent="0.3">
      <c r="A16" t="str">
        <f>name!E12</f>
        <v>Elementary occupations</v>
      </c>
      <c r="B16" s="11">
        <v>3302.1923629942416</v>
      </c>
      <c r="C16" s="11">
        <v>3290.2423965940557</v>
      </c>
      <c r="D16" s="11">
        <v>3001.5109789107441</v>
      </c>
      <c r="E16" s="11">
        <v>3009.8110450580339</v>
      </c>
      <c r="F16" s="11">
        <v>2907.1002530060523</v>
      </c>
      <c r="G16" s="11"/>
      <c r="H16" s="11">
        <f t="shared" si="0"/>
        <v>-94.410725904691844</v>
      </c>
      <c r="I16" s="11">
        <v>1420.0760573395498</v>
      </c>
      <c r="J16" s="11">
        <f>SUM(H16:I16)</f>
        <v>1325.665331434858</v>
      </c>
      <c r="L16" s="10" t="str">
        <f>name!E12</f>
        <v>Elementary occupations</v>
      </c>
      <c r="M16" s="11">
        <v>1765.3497212648965</v>
      </c>
      <c r="N16" s="11">
        <v>1699.7166831161926</v>
      </c>
      <c r="O16" s="11">
        <v>1596.2019435508616</v>
      </c>
      <c r="P16" s="11">
        <v>1634.8409652286821</v>
      </c>
      <c r="Q16" s="11">
        <v>1567.6502592068991</v>
      </c>
      <c r="R16" s="11"/>
      <c r="S16" s="11">
        <f t="shared" si="2"/>
        <v>-28.551684343962506</v>
      </c>
      <c r="T16" s="11">
        <v>628.629870526746</v>
      </c>
      <c r="U16" s="11">
        <f>SUM(S16:T16)</f>
        <v>600.0781861827835</v>
      </c>
      <c r="W16" s="10" t="str">
        <f>name!E12</f>
        <v>Elementary occupations</v>
      </c>
      <c r="X16" s="11">
        <v>1536.8426417293433</v>
      </c>
      <c r="Y16" s="11">
        <v>1590.5257134778606</v>
      </c>
      <c r="Z16" s="11">
        <v>1405.3090353598864</v>
      </c>
      <c r="AA16" s="11">
        <v>1374.9700798293613</v>
      </c>
      <c r="AB16" s="11">
        <v>1339.4499937991502</v>
      </c>
      <c r="AC16" s="11"/>
      <c r="AD16" s="11">
        <f t="shared" si="4"/>
        <v>-65.859041560736159</v>
      </c>
      <c r="AE16" s="11">
        <v>791.44618681280394</v>
      </c>
      <c r="AF16" s="11">
        <f>SUM(AD16:AE16)</f>
        <v>725.58714525206778</v>
      </c>
    </row>
    <row r="17" spans="1:32" x14ac:dyDescent="0.3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3">
      <c r="A18" s="23" t="str">
        <f>name!E3</f>
        <v>All occupations</v>
      </c>
      <c r="B18" s="33">
        <f>SUM(B8:B16)</f>
        <v>28656.171999997779</v>
      </c>
      <c r="C18" s="33">
        <f>SUM(C8:C16)</f>
        <v>30212.759999993872</v>
      </c>
      <c r="D18" s="33">
        <f>SUM(D8:D16)</f>
        <v>29859.680999995038</v>
      </c>
      <c r="E18" s="33">
        <f>SUM(E8:E16)</f>
        <v>30754.748000010026</v>
      </c>
      <c r="F18" s="33">
        <f>SUM(F8:F16)</f>
        <v>32070.090999998909</v>
      </c>
      <c r="G18" s="11"/>
      <c r="H18" s="33">
        <f>SUM(H8:H16)</f>
        <v>2210.4100000038793</v>
      </c>
      <c r="I18" s="33">
        <f>SUM(I8:I16)</f>
        <v>14988.122927048114</v>
      </c>
      <c r="J18" s="33">
        <f>SUM(H18:I18)</f>
        <v>17198.532927051994</v>
      </c>
      <c r="L18" s="231" t="str">
        <f>name!E3</f>
        <v>All occupations</v>
      </c>
      <c r="M18" s="33">
        <f>SUM(M8:M16)</f>
        <v>15097.294000001102</v>
      </c>
      <c r="N18" s="33">
        <f>SUM(N8:N16)</f>
        <v>15791.443999999361</v>
      </c>
      <c r="O18" s="33">
        <f>SUM(O8:O16)</f>
        <v>15479.516000000143</v>
      </c>
      <c r="P18" s="33">
        <f>SUM(P8:P16)</f>
        <v>15910.18800000161</v>
      </c>
      <c r="Q18" s="33">
        <f>SUM(Q8:Q16)</f>
        <v>16483.507000000143</v>
      </c>
      <c r="R18" s="11"/>
      <c r="S18" s="33">
        <f>SUM(S8:S16)</f>
        <v>1003.9909999999975</v>
      </c>
      <c r="T18" s="33">
        <f>SUM(T8:T16)</f>
        <v>6500.8203760489341</v>
      </c>
      <c r="U18" s="33">
        <f>SUM(S18:T18)</f>
        <v>7504.8113760489314</v>
      </c>
      <c r="W18" s="231" t="str">
        <f>name!E3</f>
        <v>All occupations</v>
      </c>
      <c r="X18" s="33">
        <f>SUM(X8:X16)</f>
        <v>13558.877999996663</v>
      </c>
      <c r="Y18" s="33">
        <f>SUM(Y8:Y16)</f>
        <v>14421.315999994513</v>
      </c>
      <c r="Z18" s="33">
        <f>SUM(Z8:Z16)</f>
        <v>14380.16499999489</v>
      </c>
      <c r="AA18" s="33">
        <f>SUM(AA8:AA16)</f>
        <v>14844.560000008438</v>
      </c>
      <c r="AB18" s="33">
        <f>SUM(AB8:AB16)</f>
        <v>15586.583999998769</v>
      </c>
      <c r="AC18" s="11"/>
      <c r="AD18" s="33">
        <f>SUM(AD8:AD16)</f>
        <v>1206.4190000038786</v>
      </c>
      <c r="AE18" s="33">
        <f>SUM(AE8:AE16)</f>
        <v>8487.3025509991821</v>
      </c>
      <c r="AF18" s="33">
        <f>SUM(AD18:AE18)</f>
        <v>9693.7215510030601</v>
      </c>
    </row>
    <row r="19" spans="1:32" x14ac:dyDescent="0.3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3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3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3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3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3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3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3">
      <c r="A26" t="str">
        <f>$A$8</f>
        <v>Managers, directors and senior officials</v>
      </c>
      <c r="B26" s="17">
        <f t="shared" ref="B26:F34" si="8">B8/B$18*100</f>
        <v>9.8511237530991309</v>
      </c>
      <c r="C26" s="17">
        <f t="shared" si="8"/>
        <v>10.729862823488999</v>
      </c>
      <c r="D26" s="17">
        <f t="shared" si="8"/>
        <v>11.044870388947297</v>
      </c>
      <c r="E26" s="17">
        <f t="shared" si="8"/>
        <v>11.060627168533564</v>
      </c>
      <c r="F26" s="17">
        <f t="shared" si="8"/>
        <v>11.840196230749029</v>
      </c>
      <c r="G26" s="11"/>
      <c r="H26" s="39">
        <f>IF(D8&gt;0,(H8/D8)*100,0)</f>
        <v>15.136574635249634</v>
      </c>
      <c r="I26" s="39">
        <f>IF(D8&gt;0,(I8/D8)*100,0)</f>
        <v>56.736045465353243</v>
      </c>
      <c r="J26" s="39">
        <f>IF(D8&gt;0,(J8/D8)*100,0)</f>
        <v>71.872620100602873</v>
      </c>
      <c r="L26" t="str">
        <f>$A$8</f>
        <v>Managers, directors and senior officials</v>
      </c>
      <c r="M26" s="17">
        <f t="shared" ref="M26:Q26" si="9">M8/M$18*100</f>
        <v>12.411457493317931</v>
      </c>
      <c r="N26" s="17">
        <f t="shared" si="9"/>
        <v>13.240386516668032</v>
      </c>
      <c r="O26" s="17">
        <f t="shared" si="9"/>
        <v>13.561896193324682</v>
      </c>
      <c r="P26" s="17">
        <f t="shared" si="9"/>
        <v>13.336241979772891</v>
      </c>
      <c r="Q26" s="17">
        <f t="shared" si="9"/>
        <v>13.960212448104439</v>
      </c>
      <c r="R26" s="11"/>
      <c r="S26" s="39">
        <f>IF(O8&gt;0,(S8/O8)*100,0)</f>
        <v>9.6134510199231382</v>
      </c>
      <c r="T26" s="39">
        <f>IF(O8&gt;0,(T8/O8)*100,0)</f>
        <v>50.061030758677781</v>
      </c>
      <c r="U26" s="39">
        <f>IF(O8&gt;0,(U8/O8)*100,0)</f>
        <v>59.674481778600921</v>
      </c>
      <c r="W26" t="str">
        <f>$A$8</f>
        <v>Managers, directors and senior officials</v>
      </c>
      <c r="X26" s="17">
        <f t="shared" ref="X26:AB26" si="10">X8/X$18*100</f>
        <v>7.0002896933624115</v>
      </c>
      <c r="Y26" s="17">
        <f t="shared" si="10"/>
        <v>7.9808214522630108</v>
      </c>
      <c r="Z26" s="17">
        <f t="shared" si="10"/>
        <v>8.335420169753915</v>
      </c>
      <c r="AA26" s="17">
        <f t="shared" si="10"/>
        <v>8.6216556218938738</v>
      </c>
      <c r="AB26" s="17">
        <f t="shared" si="10"/>
        <v>9.5981846290475765</v>
      </c>
      <c r="AC26" s="11"/>
      <c r="AD26" s="39">
        <f>IF(Z8&gt;0,(AD8/Z8)*100,0)</f>
        <v>24.809797437887102</v>
      </c>
      <c r="AE26" s="39">
        <f>IF(Z8&gt;0,(AE8/Z8)*100,0)</f>
        <v>68.426695352198891</v>
      </c>
      <c r="AF26" s="39">
        <f>IF(Z8&gt;0,(AF8/Z8)*100,0)</f>
        <v>93.23649279008599</v>
      </c>
    </row>
    <row r="27" spans="1:32" x14ac:dyDescent="0.3">
      <c r="A27" t="str">
        <f>$A$9</f>
        <v>Professional occupations</v>
      </c>
      <c r="B27" s="17">
        <f t="shared" si="8"/>
        <v>20.635148972596944</v>
      </c>
      <c r="C27" s="17">
        <f t="shared" si="8"/>
        <v>22.328895519861973</v>
      </c>
      <c r="D27" s="17">
        <f t="shared" si="8"/>
        <v>23.586682144318715</v>
      </c>
      <c r="E27" s="17">
        <f t="shared" si="8"/>
        <v>24.769639680516352</v>
      </c>
      <c r="F27" s="17">
        <f t="shared" si="8"/>
        <v>26.232179601343482</v>
      </c>
      <c r="G27" s="11"/>
      <c r="H27" s="39">
        <f>IF(D9&gt;0,(H9/D9)*100,0)</f>
        <v>19.449009039449468</v>
      </c>
      <c r="I27" s="39">
        <f t="shared" ref="I27:I36" si="11">IF(D9&gt;0,(I9/D9)*100,0)</f>
        <v>51.876902996399743</v>
      </c>
      <c r="J27" s="39">
        <f t="shared" ref="J27:J36" si="12">IF(D9&gt;0,(J9/D9)*100,0)</f>
        <v>71.325912035849214</v>
      </c>
      <c r="L27" t="str">
        <f>$A$9</f>
        <v>Professional occupations</v>
      </c>
      <c r="M27" s="17">
        <f t="shared" ref="M27:Q27" si="13">M9/M$18*100</f>
        <v>20.350595563529957</v>
      </c>
      <c r="N27" s="17">
        <f t="shared" si="13"/>
        <v>21.939391762050871</v>
      </c>
      <c r="O27" s="17">
        <f t="shared" si="13"/>
        <v>23.116227451463224</v>
      </c>
      <c r="P27" s="17">
        <f t="shared" si="13"/>
        <v>24.170582310900702</v>
      </c>
      <c r="Q27" s="17">
        <f t="shared" si="13"/>
        <v>25.28427652563197</v>
      </c>
      <c r="R27" s="11"/>
      <c r="S27" s="39">
        <f t="shared" ref="S27:S34" si="14">IF(O9&gt;0,(S9/O9)*100,0)</f>
        <v>16.473147521834964</v>
      </c>
      <c r="T27" s="39">
        <f t="shared" ref="T27:T34" si="15">IF(O9&gt;0,(T9/O9)*100,0)</f>
        <v>41.8600096935454</v>
      </c>
      <c r="U27" s="39">
        <f t="shared" ref="U27:U34" si="16">IF(O9&gt;0,(U9/O9)*100,0)</f>
        <v>58.333157215380368</v>
      </c>
      <c r="W27" t="str">
        <f>$A$9</f>
        <v>Professional occupations</v>
      </c>
      <c r="X27" s="17">
        <f t="shared" ref="X27:AB27" si="17">X9/X$18*100</f>
        <v>20.951988350854364</v>
      </c>
      <c r="Y27" s="17">
        <f t="shared" si="17"/>
        <v>22.755404916040977</v>
      </c>
      <c r="Z27" s="17">
        <f t="shared" si="17"/>
        <v>24.093102685761366</v>
      </c>
      <c r="AA27" s="17">
        <f t="shared" si="17"/>
        <v>25.411700837826839</v>
      </c>
      <c r="AB27" s="17">
        <f t="shared" si="17"/>
        <v>27.23462933528214</v>
      </c>
      <c r="AC27" s="11"/>
      <c r="AD27" s="39">
        <f t="shared" ref="AD27:AD34" si="18">IF(Z9&gt;0,(AD9/Z9)*100,0)</f>
        <v>22.522489475276945</v>
      </c>
      <c r="AE27" s="39">
        <f t="shared" ref="AE27:AE34" si="19">IF(Z9&gt;0,(AE9/Z9)*100,0)</f>
        <v>62.222386283127527</v>
      </c>
      <c r="AF27" s="39">
        <f t="shared" ref="AF27:AF34" si="20">IF(Z9&gt;0,(AF9/Z9)*100,0)</f>
        <v>84.744875758404476</v>
      </c>
    </row>
    <row r="28" spans="1:32" x14ac:dyDescent="0.3">
      <c r="A28" t="str">
        <f>$A$10</f>
        <v>Associate professional occupations</v>
      </c>
      <c r="B28" s="17">
        <f t="shared" si="8"/>
        <v>12.817758294401587</v>
      </c>
      <c r="C28" s="17">
        <f t="shared" si="8"/>
        <v>13.12786353437046</v>
      </c>
      <c r="D28" s="17">
        <f t="shared" si="8"/>
        <v>13.906128527136863</v>
      </c>
      <c r="E28" s="17">
        <f t="shared" si="8"/>
        <v>13.283185791493418</v>
      </c>
      <c r="F28" s="17">
        <f t="shared" si="8"/>
        <v>13.700869071953866</v>
      </c>
      <c r="G28" s="11"/>
      <c r="H28" s="39">
        <f t="shared" ref="H28:H34" si="21">IF(D10&gt;0,(H10/D10)*100,0)</f>
        <v>5.8173559531804075</v>
      </c>
      <c r="I28" s="39">
        <f t="shared" si="11"/>
        <v>46.500413513740959</v>
      </c>
      <c r="J28" s="39">
        <f t="shared" si="12"/>
        <v>52.317769466921369</v>
      </c>
      <c r="L28" t="str">
        <f>$A$10</f>
        <v>Associate professional occupations</v>
      </c>
      <c r="M28" s="17">
        <f t="shared" ref="M28:Q28" si="22">M10/M$18*100</f>
        <v>13.199899961303888</v>
      </c>
      <c r="N28" s="17">
        <f t="shared" si="22"/>
        <v>13.410804529753765</v>
      </c>
      <c r="O28" s="17">
        <f t="shared" si="22"/>
        <v>14.197160853866983</v>
      </c>
      <c r="P28" s="17">
        <f t="shared" si="22"/>
        <v>13.072614564354007</v>
      </c>
      <c r="Q28" s="17">
        <f t="shared" si="22"/>
        <v>13.067429374574917</v>
      </c>
      <c r="R28" s="11"/>
      <c r="S28" s="39">
        <f t="shared" si="14"/>
        <v>-1.9876283641394508</v>
      </c>
      <c r="T28" s="39">
        <f t="shared" si="15"/>
        <v>36.318751995008085</v>
      </c>
      <c r="U28" s="39">
        <f t="shared" si="16"/>
        <v>34.331123630868639</v>
      </c>
      <c r="W28" t="str">
        <f>$A$10</f>
        <v>Associate professional occupations</v>
      </c>
      <c r="X28" s="17">
        <f t="shared" ref="X28:AB28" si="23">X10/X$18*100</f>
        <v>12.39225810958717</v>
      </c>
      <c r="Y28" s="17">
        <f t="shared" si="23"/>
        <v>12.818041123995313</v>
      </c>
      <c r="Z28" s="17">
        <f t="shared" si="23"/>
        <v>13.592847034321062</v>
      </c>
      <c r="AA28" s="17">
        <f t="shared" si="23"/>
        <v>13.50887303390259</v>
      </c>
      <c r="AB28" s="17">
        <f t="shared" si="23"/>
        <v>14.370759773202119</v>
      </c>
      <c r="AC28" s="11"/>
      <c r="AD28" s="39">
        <f t="shared" si="18"/>
        <v>14.592547724605096</v>
      </c>
      <c r="AE28" s="39">
        <f t="shared" si="19"/>
        <v>57.947718049683537</v>
      </c>
      <c r="AF28" s="39">
        <f t="shared" si="20"/>
        <v>72.540265774288642</v>
      </c>
    </row>
    <row r="29" spans="1:32" x14ac:dyDescent="0.3">
      <c r="A29" t="str">
        <f>$A$11</f>
        <v>Administrative and secretarial occupations</v>
      </c>
      <c r="B29" s="17">
        <f t="shared" si="8"/>
        <v>10.990629734659034</v>
      </c>
      <c r="C29" s="17">
        <f t="shared" si="8"/>
        <v>10.131171816117686</v>
      </c>
      <c r="D29" s="17">
        <f t="shared" si="8"/>
        <v>10.53939704739448</v>
      </c>
      <c r="E29" s="17">
        <f t="shared" si="8"/>
        <v>9.6536898855905058</v>
      </c>
      <c r="F29" s="17">
        <f t="shared" si="8"/>
        <v>8.481803360281976</v>
      </c>
      <c r="G29" s="11"/>
      <c r="H29" s="39">
        <f t="shared" si="21"/>
        <v>-13.565432670944752</v>
      </c>
      <c r="I29" s="39">
        <f t="shared" si="11"/>
        <v>46.569507835071697</v>
      </c>
      <c r="J29" s="39">
        <f t="shared" si="12"/>
        <v>33.004075164126952</v>
      </c>
      <c r="L29" t="str">
        <f>$A$11</f>
        <v>Administrative and secretarial occupations</v>
      </c>
      <c r="M29" s="17">
        <f t="shared" ref="M29:Q29" si="24">M11/M$18*100</f>
        <v>5.1262830777829951</v>
      </c>
      <c r="N29" s="17">
        <f t="shared" si="24"/>
        <v>4.629614625485134</v>
      </c>
      <c r="O29" s="17">
        <f t="shared" si="24"/>
        <v>5.5340974084654135</v>
      </c>
      <c r="P29" s="17">
        <f t="shared" si="24"/>
        <v>5.2062182525089051</v>
      </c>
      <c r="Q29" s="17">
        <f t="shared" si="24"/>
        <v>5.4637468575580783</v>
      </c>
      <c r="R29" s="11"/>
      <c r="S29" s="39">
        <f t="shared" si="14"/>
        <v>5.1322623315465439</v>
      </c>
      <c r="T29" s="39">
        <f t="shared" si="15"/>
        <v>37.060425884020724</v>
      </c>
      <c r="U29" s="39">
        <f t="shared" si="16"/>
        <v>42.192688215567273</v>
      </c>
      <c r="W29" t="str">
        <f>$A$11</f>
        <v>Administrative and secretarial occupations</v>
      </c>
      <c r="X29" s="17">
        <f t="shared" ref="X29:AB29" si="25">X11/X$18*100</f>
        <v>17.520356279643252</v>
      </c>
      <c r="Y29" s="17">
        <f t="shared" si="25"/>
        <v>16.15541622548368</v>
      </c>
      <c r="Z29" s="17">
        <f t="shared" si="25"/>
        <v>15.92734745308344</v>
      </c>
      <c r="AA29" s="17">
        <f t="shared" si="25"/>
        <v>14.420426643497899</v>
      </c>
      <c r="AB29" s="17">
        <f t="shared" si="25"/>
        <v>11.673532573626559</v>
      </c>
      <c r="AC29" s="11"/>
      <c r="AD29" s="39">
        <f t="shared" si="18"/>
        <v>-20.55877719877671</v>
      </c>
      <c r="AE29" s="39">
        <f t="shared" si="19"/>
        <v>50.126111267646344</v>
      </c>
      <c r="AF29" s="39">
        <f t="shared" si="20"/>
        <v>29.567334068869634</v>
      </c>
    </row>
    <row r="30" spans="1:32" x14ac:dyDescent="0.3">
      <c r="A30" t="str">
        <f>$A$12</f>
        <v>Skilled trades occupations</v>
      </c>
      <c r="B30" s="17">
        <f t="shared" si="8"/>
        <v>10.084008974764554</v>
      </c>
      <c r="C30" s="17">
        <f t="shared" si="8"/>
        <v>9.4356538576228957</v>
      </c>
      <c r="D30" s="17">
        <f t="shared" si="8"/>
        <v>8.4069158260457506</v>
      </c>
      <c r="E30" s="17">
        <f t="shared" si="8"/>
        <v>8.3051814222844058</v>
      </c>
      <c r="F30" s="17">
        <f t="shared" si="8"/>
        <v>7.77714733191769</v>
      </c>
      <c r="G30" s="11"/>
      <c r="H30" s="39">
        <f t="shared" si="21"/>
        <v>-0.64295745146297234</v>
      </c>
      <c r="I30" s="39">
        <f t="shared" si="11"/>
        <v>42.942583290571314</v>
      </c>
      <c r="J30" s="39">
        <f t="shared" si="12"/>
        <v>42.299625839108337</v>
      </c>
      <c r="L30" t="str">
        <f>$A$12</f>
        <v>Skilled trades occupations</v>
      </c>
      <c r="M30" s="17">
        <f t="shared" ref="M30:Q30" si="26">M12/M$18*100</f>
        <v>17.088705159142627</v>
      </c>
      <c r="N30" s="17">
        <f t="shared" si="26"/>
        <v>16.081065008525883</v>
      </c>
      <c r="O30" s="17">
        <f t="shared" si="26"/>
        <v>14.131224941875972</v>
      </c>
      <c r="P30" s="17">
        <f t="shared" si="26"/>
        <v>13.773197005809127</v>
      </c>
      <c r="Q30" s="17">
        <f t="shared" si="26"/>
        <v>12.703104543244065</v>
      </c>
      <c r="R30" s="11"/>
      <c r="S30" s="39">
        <f t="shared" si="14"/>
        <v>-4.2756773136284423</v>
      </c>
      <c r="T30" s="39">
        <f t="shared" si="15"/>
        <v>39.159636269862368</v>
      </c>
      <c r="U30" s="39">
        <f t="shared" si="16"/>
        <v>34.883958956233926</v>
      </c>
      <c r="W30" t="str">
        <f>$A$12</f>
        <v>Skilled trades occupations</v>
      </c>
      <c r="X30" s="17">
        <f t="shared" ref="X30:AB30" si="27">X12/X$18*100</f>
        <v>2.2845466832484398</v>
      </c>
      <c r="Y30" s="17">
        <f t="shared" si="27"/>
        <v>2.1588811937068377</v>
      </c>
      <c r="Z30" s="17">
        <f t="shared" si="27"/>
        <v>2.2449882996598203</v>
      </c>
      <c r="AA30" s="17">
        <f t="shared" si="27"/>
        <v>2.4446401923141252</v>
      </c>
      <c r="AB30" s="17">
        <f t="shared" si="27"/>
        <v>2.5677281176366238</v>
      </c>
      <c r="AC30" s="11"/>
      <c r="AD30" s="39">
        <f t="shared" si="18"/>
        <v>23.971549692360682</v>
      </c>
      <c r="AE30" s="39">
        <f t="shared" si="19"/>
        <v>68.574996468295168</v>
      </c>
      <c r="AF30" s="39">
        <f t="shared" si="20"/>
        <v>92.546546160655865</v>
      </c>
    </row>
    <row r="31" spans="1:32" x14ac:dyDescent="0.3">
      <c r="A31" t="str">
        <f>$A$13</f>
        <v>Caring, leisure and other service occupations</v>
      </c>
      <c r="B31" s="17">
        <f t="shared" si="8"/>
        <v>9.3748632768063924</v>
      </c>
      <c r="C31" s="17">
        <f t="shared" si="8"/>
        <v>9.2509791724131372</v>
      </c>
      <c r="D31" s="17">
        <f t="shared" si="8"/>
        <v>8.9860098654564826</v>
      </c>
      <c r="E31" s="17">
        <f t="shared" si="8"/>
        <v>9.3317003106778706</v>
      </c>
      <c r="F31" s="17">
        <f t="shared" si="8"/>
        <v>9.6791778755125097</v>
      </c>
      <c r="G31" s="11"/>
      <c r="H31" s="39">
        <f t="shared" si="21"/>
        <v>15.687545925831786</v>
      </c>
      <c r="I31" s="39">
        <f t="shared" si="11"/>
        <v>59.682706098692492</v>
      </c>
      <c r="J31" s="39">
        <f t="shared" si="12"/>
        <v>75.370252024524291</v>
      </c>
      <c r="L31" t="str">
        <f>$A$13</f>
        <v>Caring, leisure and other service occupations</v>
      </c>
      <c r="M31" s="17">
        <f t="shared" ref="M31:Q31" si="28">M13/M$18*100</f>
        <v>3.4326132250515644</v>
      </c>
      <c r="N31" s="17">
        <f t="shared" si="28"/>
        <v>3.4644511812940273</v>
      </c>
      <c r="O31" s="17">
        <f t="shared" si="28"/>
        <v>3.4550226321549764</v>
      </c>
      <c r="P31" s="17">
        <f t="shared" si="28"/>
        <v>3.8106508832890089</v>
      </c>
      <c r="Q31" s="17">
        <f t="shared" si="28"/>
        <v>4.2013149060661403</v>
      </c>
      <c r="R31" s="11"/>
      <c r="S31" s="39">
        <f t="shared" si="14"/>
        <v>29.48712186293087</v>
      </c>
      <c r="T31" s="39">
        <f t="shared" si="15"/>
        <v>51.713286783124154</v>
      </c>
      <c r="U31" s="39">
        <f t="shared" si="16"/>
        <v>81.200408646055024</v>
      </c>
      <c r="W31" t="str">
        <f>$A$13</f>
        <v>Caring, leisure and other service occupations</v>
      </c>
      <c r="X31" s="17">
        <f t="shared" ref="X31:AB31" si="29">X13/X$18*100</f>
        <v>15.991332283525555</v>
      </c>
      <c r="Y31" s="17">
        <f t="shared" si="29"/>
        <v>15.587268643236788</v>
      </c>
      <c r="Z31" s="17">
        <f t="shared" si="29"/>
        <v>14.939836220975897</v>
      </c>
      <c r="AA31" s="17">
        <f t="shared" si="29"/>
        <v>15.249082459223079</v>
      </c>
      <c r="AB31" s="17">
        <f t="shared" si="29"/>
        <v>15.472262017741373</v>
      </c>
      <c r="AC31" s="11"/>
      <c r="AD31" s="39">
        <f t="shared" si="18"/>
        <v>12.252248777223128</v>
      </c>
      <c r="AE31" s="39">
        <f t="shared" si="19"/>
        <v>61.66663108128828</v>
      </c>
      <c r="AF31" s="39">
        <f t="shared" si="20"/>
        <v>73.918879858511403</v>
      </c>
    </row>
    <row r="32" spans="1:32" x14ac:dyDescent="0.3">
      <c r="A32" t="str">
        <f>$A$14</f>
        <v>Sales and customer service occupations</v>
      </c>
      <c r="B32" s="17">
        <f t="shared" si="8"/>
        <v>8.5556251486458788</v>
      </c>
      <c r="C32" s="17">
        <f t="shared" si="8"/>
        <v>7.9140802894419844</v>
      </c>
      <c r="D32" s="17">
        <f t="shared" si="8"/>
        <v>7.9114484901403879</v>
      </c>
      <c r="E32" s="17">
        <f t="shared" si="8"/>
        <v>7.7358457405174903</v>
      </c>
      <c r="F32" s="17">
        <f t="shared" si="8"/>
        <v>7.4486701231952832</v>
      </c>
      <c r="H32" s="39">
        <f t="shared" si="21"/>
        <v>1.1201639230727594</v>
      </c>
      <c r="I32" s="39">
        <f t="shared" si="11"/>
        <v>46.24687227732953</v>
      </c>
      <c r="J32" s="39">
        <f t="shared" si="12"/>
        <v>47.367036200402289</v>
      </c>
      <c r="L32" t="str">
        <f>$A$14</f>
        <v>Sales and customer service occupations</v>
      </c>
      <c r="M32" s="17">
        <f t="shared" ref="M32:Q32" si="30">M14/M$18*100</f>
        <v>6.4593063338160031</v>
      </c>
      <c r="N32" s="17">
        <f t="shared" si="30"/>
        <v>6.0766602180431599</v>
      </c>
      <c r="O32" s="17">
        <f t="shared" si="30"/>
        <v>6.2642108692636072</v>
      </c>
      <c r="P32" s="17">
        <f t="shared" si="30"/>
        <v>6.2991970524763214</v>
      </c>
      <c r="Q32" s="17">
        <f t="shared" si="30"/>
        <v>6.2950850803076523</v>
      </c>
      <c r="S32" s="39">
        <f t="shared" si="14"/>
        <v>7.0107664951624695</v>
      </c>
      <c r="T32" s="39">
        <f t="shared" si="15"/>
        <v>35.295535910430232</v>
      </c>
      <c r="U32" s="39">
        <f t="shared" si="16"/>
        <v>42.306302405592703</v>
      </c>
      <c r="W32" t="str">
        <f>$A$14</f>
        <v>Sales and customer service occupations</v>
      </c>
      <c r="X32" s="17">
        <f t="shared" ref="X32:AB32" si="31">X14/X$18*100</f>
        <v>10.889796269975292</v>
      </c>
      <c r="Y32" s="17">
        <f t="shared" si="31"/>
        <v>9.9260683883076073</v>
      </c>
      <c r="Z32" s="17">
        <f t="shared" si="31"/>
        <v>9.6846159821805191</v>
      </c>
      <c r="AA32" s="17">
        <f t="shared" si="31"/>
        <v>9.2756253444045722</v>
      </c>
      <c r="AB32" s="17">
        <f t="shared" si="31"/>
        <v>8.6686377010516811</v>
      </c>
      <c r="AD32" s="39">
        <f t="shared" si="18"/>
        <v>-2.9812839380158267</v>
      </c>
      <c r="AE32" s="39">
        <f t="shared" si="19"/>
        <v>53.871955546552442</v>
      </c>
      <c r="AF32" s="39">
        <f t="shared" si="20"/>
        <v>50.890671608536621</v>
      </c>
    </row>
    <row r="33" spans="1:32" x14ac:dyDescent="0.3">
      <c r="A33" t="str">
        <f>$A$15</f>
        <v>Process, plant and machine operatives</v>
      </c>
      <c r="B33" s="17">
        <f t="shared" si="8"/>
        <v>6.1673474892747722</v>
      </c>
      <c r="C33" s="17">
        <f t="shared" si="8"/>
        <v>6.1912519210049126</v>
      </c>
      <c r="D33" s="17">
        <f t="shared" si="8"/>
        <v>5.5664946463921616</v>
      </c>
      <c r="E33" s="17">
        <f t="shared" si="8"/>
        <v>6.0736376998900568</v>
      </c>
      <c r="F33" s="17">
        <f t="shared" si="8"/>
        <v>5.7751232151242853</v>
      </c>
      <c r="G33" s="11"/>
      <c r="H33" s="39">
        <f t="shared" si="21"/>
        <v>11.428038961633851</v>
      </c>
      <c r="I33" s="39">
        <f t="shared" si="11"/>
        <v>52.641795517978288</v>
      </c>
      <c r="J33" s="39">
        <f t="shared" si="12"/>
        <v>64.069834479612126</v>
      </c>
      <c r="L33" t="str">
        <f>$A$15</f>
        <v>Process, plant and machine operatives</v>
      </c>
      <c r="M33" s="17">
        <f t="shared" ref="M33:Q33" si="32">M15/M$18*100</f>
        <v>10.237985954325127</v>
      </c>
      <c r="N33" s="17">
        <f t="shared" si="32"/>
        <v>10.394096976704247</v>
      </c>
      <c r="O33" s="17">
        <f t="shared" si="32"/>
        <v>9.4284551780057591</v>
      </c>
      <c r="P33" s="17">
        <f t="shared" si="32"/>
        <v>10.055863334852329</v>
      </c>
      <c r="Q33" s="17">
        <f t="shared" si="32"/>
        <v>9.5144132203310097</v>
      </c>
      <c r="R33" s="11"/>
      <c r="S33" s="39">
        <f t="shared" si="14"/>
        <v>7.4567516463801873</v>
      </c>
      <c r="T33" s="39">
        <f t="shared" si="15"/>
        <v>50.177177065283807</v>
      </c>
      <c r="U33" s="39">
        <f t="shared" si="16"/>
        <v>57.633928711663998</v>
      </c>
      <c r="W33" t="str">
        <f>$A$15</f>
        <v>Process, plant and machine operatives</v>
      </c>
      <c r="X33" s="17">
        <f t="shared" ref="X33:AB33" si="33">X15/X$18*100</f>
        <v>1.6348466677028426</v>
      </c>
      <c r="Y33" s="17">
        <f t="shared" si="33"/>
        <v>1.5891065732588621</v>
      </c>
      <c r="Z33" s="17">
        <f t="shared" si="33"/>
        <v>1.4092906198387176</v>
      </c>
      <c r="AA33" s="17">
        <f t="shared" si="33"/>
        <v>1.8055449769909238</v>
      </c>
      <c r="AB33" s="17">
        <f t="shared" si="33"/>
        <v>1.8206574402078439</v>
      </c>
      <c r="AC33" s="11"/>
      <c r="AD33" s="39">
        <f t="shared" si="18"/>
        <v>40.027957511959244</v>
      </c>
      <c r="AE33" s="39">
        <f t="shared" si="19"/>
        <v>70.391175356083721</v>
      </c>
      <c r="AF33" s="39">
        <f t="shared" si="20"/>
        <v>110.41913286804296</v>
      </c>
    </row>
    <row r="34" spans="1:32" x14ac:dyDescent="0.3">
      <c r="A34" t="str">
        <f>$A$16</f>
        <v>Elementary occupations</v>
      </c>
      <c r="B34" s="17">
        <f t="shared" si="8"/>
        <v>11.523494355751694</v>
      </c>
      <c r="C34" s="17">
        <f t="shared" si="8"/>
        <v>10.890241065677955</v>
      </c>
      <c r="D34" s="17">
        <f t="shared" si="8"/>
        <v>10.052053064167842</v>
      </c>
      <c r="E34" s="17">
        <f t="shared" si="8"/>
        <v>9.7864923004963433</v>
      </c>
      <c r="F34" s="17">
        <f t="shared" si="8"/>
        <v>9.0648331899218846</v>
      </c>
      <c r="G34" s="11"/>
      <c r="H34" s="39">
        <f t="shared" si="21"/>
        <v>-3.1454399656720136</v>
      </c>
      <c r="I34" s="39">
        <f t="shared" si="11"/>
        <v>47.312039413392348</v>
      </c>
      <c r="J34" s="39">
        <f t="shared" si="12"/>
        <v>44.166599447720337</v>
      </c>
      <c r="L34" t="str">
        <f>$A$16</f>
        <v>Elementary occupations</v>
      </c>
      <c r="M34" s="17">
        <f t="shared" ref="M34:Q34" si="34">M16/M$18*100</f>
        <v>11.693153231729921</v>
      </c>
      <c r="N34" s="17">
        <f t="shared" si="34"/>
        <v>10.763529181474862</v>
      </c>
      <c r="O34" s="17">
        <f t="shared" si="34"/>
        <v>10.31170447157939</v>
      </c>
      <c r="P34" s="17">
        <f t="shared" si="34"/>
        <v>10.275434616036696</v>
      </c>
      <c r="Q34" s="17">
        <f t="shared" si="34"/>
        <v>9.5104170441817111</v>
      </c>
      <c r="R34" s="11"/>
      <c r="S34" s="39">
        <f t="shared" si="14"/>
        <v>-1.7887263237161153</v>
      </c>
      <c r="T34" s="39">
        <f t="shared" si="15"/>
        <v>39.382853345505602</v>
      </c>
      <c r="U34" s="39">
        <f t="shared" si="16"/>
        <v>37.59412702178949</v>
      </c>
      <c r="W34" t="str">
        <f>$A$16</f>
        <v>Elementary occupations</v>
      </c>
      <c r="X34" s="17">
        <f t="shared" ref="X34:AB34" si="35">X16/X$18*100</f>
        <v>11.334585662100666</v>
      </c>
      <c r="Y34" s="17">
        <f t="shared" si="35"/>
        <v>11.028991483706935</v>
      </c>
      <c r="Z34" s="17">
        <f t="shared" si="35"/>
        <v>9.7725515344252702</v>
      </c>
      <c r="AA34" s="17">
        <f t="shared" si="35"/>
        <v>9.2624508899460789</v>
      </c>
      <c r="AB34" s="17">
        <f t="shared" si="35"/>
        <v>8.5936084122040839</v>
      </c>
      <c r="AC34" s="11"/>
      <c r="AD34" s="39">
        <f t="shared" si="18"/>
        <v>-4.6864454652759191</v>
      </c>
      <c r="AE34" s="39">
        <f t="shared" si="19"/>
        <v>56.318302017472057</v>
      </c>
      <c r="AF34" s="39">
        <f t="shared" si="20"/>
        <v>51.631856552196133</v>
      </c>
    </row>
    <row r="35" spans="1:32" x14ac:dyDescent="0.3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3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7.4026577846034138</v>
      </c>
      <c r="I36" s="42">
        <f t="shared" si="11"/>
        <v>50.195187708303401</v>
      </c>
      <c r="J36" s="42">
        <f t="shared" si="12"/>
        <v>57.597845492906821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6.485932764305991</v>
      </c>
      <c r="T36" s="42">
        <f t="shared" ref="T36" si="37">IF(O18&gt;0,(T18/O18)*100,0)</f>
        <v>41.996276731448674</v>
      </c>
      <c r="U36" s="42">
        <f t="shared" ref="U36" si="38">IF(O18&gt;0,(U18/O18)*100,0)</f>
        <v>48.48220949575466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8.3894656285536868</v>
      </c>
      <c r="AE36" s="42">
        <f t="shared" ref="AE36" si="40">IF(Z18&gt;0,(AE18/Z18)*100,0)</f>
        <v>59.020898237274736</v>
      </c>
      <c r="AF36" s="42">
        <f t="shared" ref="AF36" si="41">IF(Z18&gt;0,(AF18/Z18)*100,0)</f>
        <v>67.410363865828415</v>
      </c>
    </row>
    <row r="37" spans="1:32" x14ac:dyDescent="0.3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3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45" x14ac:dyDescent="0.4">
      <c r="A39" s="18" t="str">
        <f>CONCATENATE(A$1," (Continued)")</f>
        <v>Occupation Table 1  Employment Change by Occupation Group (SOC 2020) and Replacement Demand, 2015-2035, England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England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England (Continued)</v>
      </c>
      <c r="X39" s="17"/>
      <c r="Y39" s="17"/>
      <c r="Z39" s="17"/>
      <c r="AA39" s="17"/>
      <c r="AB39" s="17"/>
      <c r="AC39" s="11"/>
    </row>
    <row r="40" spans="1:32" x14ac:dyDescent="0.3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3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3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3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3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3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3">
      <c r="A46" t="str">
        <f>$A$8</f>
        <v>Managers, directors and senior officials</v>
      </c>
      <c r="B46" s="17">
        <f>IF(C$6-B$6 &lt;&gt; 0,(EXP(LN(C8/B8)/(C$6-B$6))-1)*100,0)</f>
        <v>3.5190207570598764</v>
      </c>
      <c r="C46" s="17">
        <f t="shared" ref="B46:E54" si="42">IF(D$6-C$6 &lt;&gt; 0,(EXP(LN(D8/C8)/(D$6-C$6))-1)*100,0)</f>
        <v>1.7328513448925387</v>
      </c>
      <c r="D46" s="17">
        <f t="shared" si="42"/>
        <v>0.62113868499469316</v>
      </c>
      <c r="E46" s="17">
        <f t="shared" si="42"/>
        <v>1.1059505610190756</v>
      </c>
      <c r="F46" s="17">
        <f>IF(F$6-D$6 &lt;&gt; 0,(EXP(LN(F8/D8)/(F$6-D$6))-1)*100,0)</f>
        <v>0.94408761033182298</v>
      </c>
      <c r="H46" s="17">
        <f>IF($F$6-$D$6 &lt;&gt; 0,(EXP(LN(1+(H26/100))/($F$6-$D$6))-1)*100,0)</f>
        <v>0.94408761033182298</v>
      </c>
      <c r="I46" s="17">
        <f>IF($F$6-$D$6 &lt;&gt; 0,(EXP(LN(1+(I26/100))/($F$6-$D$6))-1)*100,0)</f>
        <v>3.0412833361464386</v>
      </c>
      <c r="J46" s="17">
        <f>IF($F$6-$D$6 &lt;&gt; 0,(EXP(LN(1+(J26/100))/($F$6-$D$6))-1)*100,0)</f>
        <v>3.6765284121975217</v>
      </c>
      <c r="L46" t="str">
        <f>$A$8</f>
        <v>Managers, directors and senior officials</v>
      </c>
      <c r="M46" s="17">
        <f t="shared" ref="M46:M54" si="43">IF(N$6-M$6 &lt;&gt; 0,(EXP(LN(N8/M8)/(N$6-M$6))-1)*100,0)</f>
        <v>2.7779977468471939</v>
      </c>
      <c r="N46" s="17">
        <f t="shared" ref="N46:N54" si="44">IF(O$6-N$6 &lt;&gt; 0,(EXP(LN(O8/N8)/(O$6-N$6))-1)*100,0)</f>
        <v>0.40498726288442644</v>
      </c>
      <c r="O46" s="17">
        <f t="shared" ref="O46:O54" si="45">IF(P$6-O$6 &lt;&gt; 0,(EXP(LN(P8/O8)/(P$6-O$6))-1)*100,0)</f>
        <v>0.21349231822553882</v>
      </c>
      <c r="P46" s="17">
        <f t="shared" ref="P46:P54" si="46">IF(Q$6-P$6 &lt;&gt; 0,(EXP(LN(Q8/P8)/(Q$6-P$6))-1)*100,0)</f>
        <v>0.81456640468089425</v>
      </c>
      <c r="Q46" s="17">
        <f>IF(Q$6-O$6 &lt;&gt; 0,(EXP(LN(Q8/O8)/(Q$6-O$6))-1)*100,0)</f>
        <v>0.61380886178870053</v>
      </c>
      <c r="S46" s="17">
        <f>IF($F$6-$D$6 &lt;&gt; 0,(EXP(LN(1+(S26/100))/($F$6-$D$6))-1)*100,0)</f>
        <v>0.61380886178870053</v>
      </c>
      <c r="T46" s="17">
        <f>IF($F$6-$D$6 &lt;&gt; 0,(EXP(LN(1+(T26/100))/($F$6-$D$6))-1)*100,0)</f>
        <v>2.742752176511476</v>
      </c>
      <c r="U46" s="17">
        <f>IF($F$6-$D$6 &lt;&gt; 0,(EXP(LN(1+(U26/100))/($F$6-$D$6))-1)*100,0)</f>
        <v>3.1689556574366229</v>
      </c>
      <c r="W46" t="str">
        <f>$A$8</f>
        <v>Managers, directors and senior officials</v>
      </c>
      <c r="X46" s="17">
        <f t="shared" ref="X46:X54" si="47">IF(Y$6-X$6 &lt;&gt; 0,(EXP(LN(Y8/X8)/(Y$6-X$6))-1)*100,0)</f>
        <v>4.9368879743494132</v>
      </c>
      <c r="Y46" s="17">
        <f t="shared" ref="Y46:Y54" si="48">IF(Z$6-Y$6 &lt;&gt; 0,(EXP(LN(Z8/Y8)/(Z$6-Y$6))-1)*100,0)</f>
        <v>4.1451087232432293</v>
      </c>
      <c r="Z46" s="17">
        <f t="shared" ref="Z46:Z54" si="49">IF(AA$6-Z$6 &lt;&gt; 0,(EXP(LN(AA8/Z8)/(AA$6-Z$6))-1)*100,0)</f>
        <v>1.3195674549363767</v>
      </c>
      <c r="AA46" s="17">
        <f t="shared" ref="AA46:AA54" si="50">IF(AB$6-AA$6 &lt;&gt; 0,(EXP(LN(AB8/AA8)/(AB$6-AA$6))-1)*100,0)</f>
        <v>1.5729823640154406</v>
      </c>
      <c r="AB46" s="17">
        <f>IF(AB$6-Z$6 &lt;&gt; 0,(EXP(LN(AB8/Z8)/(AB$6-Z$6))-1)*100,0)</f>
        <v>1.4884403805632385</v>
      </c>
      <c r="AD46" s="17">
        <f>IF($F$6-$D$6 &lt;&gt; 0,(EXP(LN(1+(AD26/100))/($F$6-$D$6))-1)*100,0)</f>
        <v>1.4884403805632385</v>
      </c>
      <c r="AE46" s="17">
        <f>IF($F$6-$D$6 &lt;&gt; 0,(EXP(LN(1+(AE26/100))/($F$6-$D$6))-1)*100,0)</f>
        <v>3.5366387626525775</v>
      </c>
      <c r="AF46" s="17">
        <f>IF($F$6-$D$6 &lt;&gt; 0,(EXP(LN(1+(AF26/100))/($F$6-$D$6))-1)*100,0)</f>
        <v>4.4894900772388224</v>
      </c>
    </row>
    <row r="47" spans="1:32" x14ac:dyDescent="0.3">
      <c r="A47" t="str">
        <f>$A$9</f>
        <v>Professional occupations</v>
      </c>
      <c r="B47" s="17">
        <f t="shared" si="42"/>
        <v>3.3494011900128351</v>
      </c>
      <c r="C47" s="17">
        <f t="shared" si="42"/>
        <v>4.3985281392973308</v>
      </c>
      <c r="D47" s="17">
        <f t="shared" si="42"/>
        <v>1.5818151087557686</v>
      </c>
      <c r="E47" s="17">
        <f t="shared" si="42"/>
        <v>0.99741789990350771</v>
      </c>
      <c r="F47" s="17">
        <f>IF(F$6-D$6 &lt;&gt; 0,(EXP(LN(F9/D9)/(F$6-D$6))-1)*100,0)</f>
        <v>1.1918424533805316</v>
      </c>
      <c r="H47" s="17">
        <f t="shared" ref="H47:J56" si="51">IF($F$6-$D$6 &lt;&gt; 0,(EXP(LN(1+(H27/100))/($F$6-$D$6))-1)*100,0)</f>
        <v>1.1918424533805316</v>
      </c>
      <c r="I47" s="17">
        <f t="shared" si="51"/>
        <v>2.8251729937462278</v>
      </c>
      <c r="J47" s="17">
        <f t="shared" si="51"/>
        <v>3.6545101272144498</v>
      </c>
      <c r="L47" t="str">
        <f>$A$9</f>
        <v>Professional occupations</v>
      </c>
      <c r="M47" s="17">
        <f t="shared" si="43"/>
        <v>3.0487072641016466</v>
      </c>
      <c r="N47" s="17">
        <f t="shared" si="44"/>
        <v>3.2827775361923273</v>
      </c>
      <c r="O47" s="17">
        <f t="shared" si="45"/>
        <v>1.4513002839756428</v>
      </c>
      <c r="P47" s="17">
        <f t="shared" si="46"/>
        <v>0.8077153721129493</v>
      </c>
      <c r="Q47" s="17">
        <f>IF(Q$6-O$6 &lt;&gt; 0,(EXP(LN(Q9/O9)/(Q$6-O$6))-1)*100,0)</f>
        <v>1.0217887520443725</v>
      </c>
      <c r="S47" s="17">
        <f t="shared" ref="S47:U47" si="52">IF($F$6-$D$6 &lt;&gt; 0,(EXP(LN(1+(S27/100))/($F$6-$D$6))-1)*100,0)</f>
        <v>1.0217887520443725</v>
      </c>
      <c r="T47" s="17">
        <f t="shared" si="52"/>
        <v>2.3585202847441922</v>
      </c>
      <c r="U47" s="17">
        <f t="shared" si="52"/>
        <v>3.1109507743211084</v>
      </c>
      <c r="W47" t="str">
        <f>$A$9</f>
        <v>Professional occupations</v>
      </c>
      <c r="X47" s="17">
        <f t="shared" si="47"/>
        <v>3.6716751498914402</v>
      </c>
      <c r="Y47" s="17">
        <f t="shared" si="48"/>
        <v>5.5764706544733977</v>
      </c>
      <c r="Z47" s="17">
        <f t="shared" si="49"/>
        <v>1.7159108522869282</v>
      </c>
      <c r="AA47" s="17">
        <f t="shared" si="50"/>
        <v>1.1875626512294568</v>
      </c>
      <c r="AB47" s="17">
        <f>IF(AB$6-Z$6 &lt;&gt; 0,(EXP(LN(AB9/Z9)/(AB$6-Z$6))-1)*100,0)</f>
        <v>1.3633730758757734</v>
      </c>
      <c r="AD47" s="17">
        <f t="shared" ref="AD47:AF47" si="53">IF($F$6-$D$6 &lt;&gt; 0,(EXP(LN(1+(AD27/100))/($F$6-$D$6))-1)*100,0)</f>
        <v>1.3633730758757734</v>
      </c>
      <c r="AE47" s="17">
        <f t="shared" si="53"/>
        <v>3.2778969270370606</v>
      </c>
      <c r="AF47" s="17">
        <f t="shared" si="53"/>
        <v>4.17691522334247</v>
      </c>
    </row>
    <row r="48" spans="1:32" x14ac:dyDescent="0.3">
      <c r="A48" t="str">
        <f>$A$10</f>
        <v>Associate professional occupations</v>
      </c>
      <c r="B48" s="17">
        <f t="shared" si="42"/>
        <v>1.9385731310823884</v>
      </c>
      <c r="C48" s="17">
        <f t="shared" si="42"/>
        <v>4.6904215134797811</v>
      </c>
      <c r="D48" s="17">
        <f t="shared" si="42"/>
        <v>-0.32537659954304798</v>
      </c>
      <c r="E48" s="17">
        <f t="shared" si="42"/>
        <v>0.73105646436368854</v>
      </c>
      <c r="F48" s="17">
        <f t="shared" ref="F48:F56" si="54">IF(F$6-D$6 &lt;&gt; 0,(EXP(LN(F10/D10)/(F$6-D$6))-1)*100,0)</f>
        <v>0.37767382971936048</v>
      </c>
      <c r="H48" s="17">
        <f t="shared" si="51"/>
        <v>0.37767382971936048</v>
      </c>
      <c r="I48" s="17">
        <f t="shared" si="51"/>
        <v>2.5784006226457601</v>
      </c>
      <c r="J48" s="17">
        <f t="shared" si="51"/>
        <v>2.8450447347489138</v>
      </c>
      <c r="L48" t="str">
        <f>$A$10</f>
        <v>Associate professional occupations</v>
      </c>
      <c r="M48" s="17">
        <f t="shared" si="43"/>
        <v>1.5317171403507635</v>
      </c>
      <c r="N48" s="17">
        <f t="shared" si="44"/>
        <v>3.7724817945615774</v>
      </c>
      <c r="O48" s="17">
        <f t="shared" si="45"/>
        <v>-1.0955624536017838</v>
      </c>
      <c r="P48" s="17">
        <f t="shared" si="46"/>
        <v>0.35065257885709133</v>
      </c>
      <c r="Q48" s="17">
        <f t="shared" ref="Q48:Q54" si="55">IF(Q$6-O$6 &lt;&gt; 0,(EXP(LN(Q10/O10)/(Q$6-O$6))-1)*100,0)</f>
        <v>-0.13375363067618107</v>
      </c>
      <c r="S48" s="17">
        <f t="shared" ref="S48:U48" si="56">IF($F$6-$D$6 &lt;&gt; 0,(EXP(LN(1+(S28/100))/($F$6-$D$6))-1)*100,0)</f>
        <v>-0.13375363067618107</v>
      </c>
      <c r="T48" s="17">
        <f t="shared" si="56"/>
        <v>2.0869839941841661</v>
      </c>
      <c r="U48" s="17">
        <f t="shared" si="56"/>
        <v>1.9870687722973068</v>
      </c>
      <c r="W48" t="str">
        <f>$A$10</f>
        <v>Associate professional occupations</v>
      </c>
      <c r="X48" s="17">
        <f t="shared" si="47"/>
        <v>2.4148863910233631</v>
      </c>
      <c r="Y48" s="17">
        <f t="shared" si="48"/>
        <v>5.7420547060369698</v>
      </c>
      <c r="Z48" s="17">
        <f t="shared" si="49"/>
        <v>0.51304503115361388</v>
      </c>
      <c r="AA48" s="17">
        <f t="shared" si="50"/>
        <v>1.1124008296593546</v>
      </c>
      <c r="AB48" s="17">
        <f t="shared" ref="AB48:AB54" si="57">IF(AB$6-Z$6 &lt;&gt; 0,(EXP(LN(AB10/Z10)/(AB$6-Z$6))-1)*100,0)</f>
        <v>0.91221950805042695</v>
      </c>
      <c r="AD48" s="17">
        <f t="shared" ref="AD48:AF48" si="58">IF($F$6-$D$6 &lt;&gt; 0,(EXP(LN(1+(AD28/100))/($F$6-$D$6))-1)*100,0)</f>
        <v>0.91221950805042695</v>
      </c>
      <c r="AE48" s="17">
        <f t="shared" si="58"/>
        <v>3.0941978213134158</v>
      </c>
      <c r="AF48" s="17">
        <f t="shared" si="58"/>
        <v>3.7033288878037807</v>
      </c>
    </row>
    <row r="49" spans="1:32" x14ac:dyDescent="0.3">
      <c r="A49" t="str">
        <f>$A$11</f>
        <v>Administrative and secretarial occupations</v>
      </c>
      <c r="B49" s="17">
        <f t="shared" si="42"/>
        <v>-0.71072665521220157</v>
      </c>
      <c r="C49" s="17">
        <f t="shared" si="42"/>
        <v>2.8136667402050231</v>
      </c>
      <c r="D49" s="17">
        <f t="shared" si="42"/>
        <v>-1.1581381770278121</v>
      </c>
      <c r="E49" s="17">
        <f t="shared" si="42"/>
        <v>-0.87155637224691773</v>
      </c>
      <c r="F49" s="17">
        <f t="shared" si="54"/>
        <v>-0.96717584556493819</v>
      </c>
      <c r="H49" s="17">
        <f t="shared" si="51"/>
        <v>-0.96717584556493819</v>
      </c>
      <c r="I49" s="17">
        <f t="shared" si="51"/>
        <v>2.581625198529558</v>
      </c>
      <c r="J49" s="17">
        <f t="shared" si="51"/>
        <v>1.919588886530188</v>
      </c>
      <c r="L49" t="str">
        <f>$A$11</f>
        <v>Administrative and secretarial occupations</v>
      </c>
      <c r="M49" s="17">
        <f t="shared" si="43"/>
        <v>-1.4137727310282289</v>
      </c>
      <c r="N49" s="17">
        <f t="shared" si="44"/>
        <v>17.175682190408125</v>
      </c>
      <c r="O49" s="17">
        <f t="shared" si="45"/>
        <v>-0.67039668434778488</v>
      </c>
      <c r="P49" s="17">
        <f t="shared" si="46"/>
        <v>0.84032819712627216</v>
      </c>
      <c r="Q49" s="17">
        <f t="shared" si="55"/>
        <v>0.33421734981122775</v>
      </c>
      <c r="S49" s="17">
        <f t="shared" ref="S49:U49" si="59">IF($F$6-$D$6 &lt;&gt; 0,(EXP(LN(1+(S29/100))/($F$6-$D$6))-1)*100,0)</f>
        <v>0.33421734981122775</v>
      </c>
      <c r="T49" s="17">
        <f t="shared" si="59"/>
        <v>2.1239188394297726</v>
      </c>
      <c r="U49" s="17">
        <f t="shared" si="59"/>
        <v>2.3745056545912524</v>
      </c>
      <c r="W49" t="str">
        <f>$A$11</f>
        <v>Administrative and secretarial occupations</v>
      </c>
      <c r="X49" s="17">
        <f t="shared" si="47"/>
        <v>-0.48487574757727359</v>
      </c>
      <c r="Y49" s="17">
        <f t="shared" si="48"/>
        <v>-1.6930372193152965</v>
      </c>
      <c r="Z49" s="17">
        <f t="shared" si="49"/>
        <v>-1.343064064677979</v>
      </c>
      <c r="AA49" s="17">
        <f t="shared" si="50"/>
        <v>-1.6123062851119085</v>
      </c>
      <c r="AB49" s="17">
        <f t="shared" si="57"/>
        <v>-1.5226406199656428</v>
      </c>
      <c r="AD49" s="17">
        <f t="shared" ref="AD49:AF49" si="60">IF($F$6-$D$6 &lt;&gt; 0,(EXP(LN(1+(AD29/100))/($F$6-$D$6))-1)*100,0)</f>
        <v>-1.5226406199656428</v>
      </c>
      <c r="AE49" s="17">
        <f t="shared" si="60"/>
        <v>2.7457221670793119</v>
      </c>
      <c r="AF49" s="17">
        <f t="shared" si="60"/>
        <v>1.7418666960070217</v>
      </c>
    </row>
    <row r="50" spans="1:32" x14ac:dyDescent="0.3">
      <c r="A50" t="str">
        <f>$A$12</f>
        <v>Skilled trades occupations</v>
      </c>
      <c r="B50" s="17">
        <f t="shared" si="42"/>
        <v>-0.33842398706971366</v>
      </c>
      <c r="C50" s="17">
        <f t="shared" si="42"/>
        <v>-11.943897021588501</v>
      </c>
      <c r="D50" s="17">
        <f t="shared" si="42"/>
        <v>0.34780721060678754</v>
      </c>
      <c r="E50" s="17">
        <f t="shared" si="42"/>
        <v>-0.23782196703310277</v>
      </c>
      <c r="F50" s="17">
        <f t="shared" si="54"/>
        <v>-4.2992977080535955E-2</v>
      </c>
      <c r="H50" s="17">
        <f t="shared" si="51"/>
        <v>-4.2992977080535955E-2</v>
      </c>
      <c r="I50" s="17">
        <f t="shared" si="51"/>
        <v>2.4104108472380092</v>
      </c>
      <c r="J50" s="17">
        <f t="shared" si="51"/>
        <v>2.3796366479041264</v>
      </c>
      <c r="L50" t="str">
        <f>$A$12</f>
        <v>Skilled trades occupations</v>
      </c>
      <c r="M50" s="17">
        <f t="shared" si="43"/>
        <v>-0.39478075685386305</v>
      </c>
      <c r="N50" s="17">
        <f t="shared" si="44"/>
        <v>-13.860859338389208</v>
      </c>
      <c r="O50" s="17">
        <f t="shared" si="45"/>
        <v>3.5598955440341307E-2</v>
      </c>
      <c r="P50" s="17">
        <f t="shared" si="46"/>
        <v>-0.45374142202426748</v>
      </c>
      <c r="Q50" s="17">
        <f t="shared" si="55"/>
        <v>-0.29089450807726625</v>
      </c>
      <c r="S50" s="17">
        <f t="shared" ref="S50:U50" si="61">IF($F$6-$D$6 &lt;&gt; 0,(EXP(LN(1+(S30/100))/($F$6-$D$6))-1)*100,0)</f>
        <v>-0.29089450807726625</v>
      </c>
      <c r="T50" s="17">
        <f t="shared" si="61"/>
        <v>2.2274557915636262</v>
      </c>
      <c r="U50" s="17">
        <f t="shared" si="61"/>
        <v>2.0149968029351095</v>
      </c>
      <c r="W50" t="str">
        <f>$A$12</f>
        <v>Skilled trades occupations</v>
      </c>
      <c r="X50" s="17">
        <f t="shared" si="47"/>
        <v>0.12728992348642887</v>
      </c>
      <c r="Y50" s="17">
        <f t="shared" si="48"/>
        <v>3.6917764224567273</v>
      </c>
      <c r="Z50" s="17">
        <f t="shared" si="49"/>
        <v>2.3672096160018308</v>
      </c>
      <c r="AA50" s="17">
        <f t="shared" si="50"/>
        <v>0.98381426019047424</v>
      </c>
      <c r="AB50" s="17">
        <f t="shared" si="57"/>
        <v>1.4428562174111814</v>
      </c>
      <c r="AD50" s="17">
        <f t="shared" ref="AD50:AF50" si="62">IF($F$6-$D$6 &lt;&gt; 0,(EXP(LN(1+(AD30/100))/($F$6-$D$6))-1)*100,0)</f>
        <v>1.4428562174111814</v>
      </c>
      <c r="AE50" s="17">
        <f t="shared" si="62"/>
        <v>3.5427139252492967</v>
      </c>
      <c r="AF50" s="17">
        <f t="shared" si="62"/>
        <v>4.4645767118574708</v>
      </c>
    </row>
    <row r="51" spans="1:32" x14ac:dyDescent="0.3">
      <c r="A51" t="str">
        <f>$A$13</f>
        <v>Caring, leisure and other service occupations</v>
      </c>
      <c r="B51" s="17">
        <f t="shared" si="42"/>
        <v>0.99473791618001073</v>
      </c>
      <c r="C51" s="17">
        <f t="shared" si="42"/>
        <v>-3.9993992491383912</v>
      </c>
      <c r="D51" s="17">
        <f t="shared" si="42"/>
        <v>1.3547671375529591</v>
      </c>
      <c r="E51" s="17">
        <f t="shared" si="42"/>
        <v>0.78747631651701067</v>
      </c>
      <c r="F51" s="17">
        <f t="shared" si="54"/>
        <v>0.9762195794202011</v>
      </c>
      <c r="H51" s="17">
        <f t="shared" si="51"/>
        <v>0.9762195794202011</v>
      </c>
      <c r="I51" s="17">
        <f t="shared" si="51"/>
        <v>3.1693099090412069</v>
      </c>
      <c r="J51" s="17">
        <f t="shared" si="51"/>
        <v>3.8158653652086594</v>
      </c>
      <c r="L51" t="str">
        <f>$A$13</f>
        <v>Caring, leisure and other service occupations</v>
      </c>
      <c r="M51" s="17">
        <f t="shared" si="43"/>
        <v>1.3638451233694449</v>
      </c>
      <c r="N51" s="17">
        <f t="shared" si="44"/>
        <v>-2.2420730173315584</v>
      </c>
      <c r="O51" s="17">
        <f t="shared" si="45"/>
        <v>2.5399827260031316</v>
      </c>
      <c r="P51" s="17">
        <f t="shared" si="46"/>
        <v>1.3388654544208345</v>
      </c>
      <c r="Q51" s="17">
        <f t="shared" si="55"/>
        <v>1.7376664098356809</v>
      </c>
      <c r="S51" s="17">
        <f t="shared" ref="S51:U51" si="63">IF($F$6-$D$6 &lt;&gt; 0,(EXP(LN(1+(S31/100))/($F$6-$D$6))-1)*100,0)</f>
        <v>1.7376664098356809</v>
      </c>
      <c r="T51" s="17">
        <f t="shared" si="63"/>
        <v>2.8177844095400584</v>
      </c>
      <c r="U51" s="17">
        <f t="shared" si="63"/>
        <v>4.0424598395431</v>
      </c>
      <c r="W51" t="str">
        <f>$A$13</f>
        <v>Caring, leisure and other service occupations</v>
      </c>
      <c r="X51" s="17">
        <f t="shared" si="47"/>
        <v>0.90591578623122615</v>
      </c>
      <c r="Y51" s="17">
        <f t="shared" si="48"/>
        <v>-4.427093850808661</v>
      </c>
      <c r="Z51" s="17">
        <f t="shared" si="49"/>
        <v>1.0509189489445347</v>
      </c>
      <c r="AA51" s="17">
        <f t="shared" si="50"/>
        <v>0.63507424875135499</v>
      </c>
      <c r="AB51" s="17">
        <f t="shared" si="57"/>
        <v>0.77349865755200753</v>
      </c>
      <c r="AD51" s="17">
        <f t="shared" ref="AD51:AF51" si="64">IF($F$6-$D$6 &lt;&gt; 0,(EXP(LN(1+(AD31/100))/($F$6-$D$6))-1)*100,0)</f>
        <v>0.77349865755200753</v>
      </c>
      <c r="AE51" s="17">
        <f t="shared" si="64"/>
        <v>3.254271254289498</v>
      </c>
      <c r="AF51" s="17">
        <f t="shared" si="64"/>
        <v>3.7583639702269744</v>
      </c>
    </row>
    <row r="52" spans="1:32" x14ac:dyDescent="0.3">
      <c r="A52" t="str">
        <f>$A$14</f>
        <v>Sales and customer service occupations</v>
      </c>
      <c r="B52" s="17">
        <f t="shared" si="42"/>
        <v>-0.62429280438084378</v>
      </c>
      <c r="C52" s="17">
        <f t="shared" si="42"/>
        <v>-1.201508008204899</v>
      </c>
      <c r="D52" s="17">
        <f t="shared" si="42"/>
        <v>0.14188478245167335</v>
      </c>
      <c r="E52" s="17">
        <f t="shared" si="42"/>
        <v>4.0509747269279472E-2</v>
      </c>
      <c r="F52" s="17">
        <f t="shared" si="54"/>
        <v>7.4290017933420494E-2</v>
      </c>
      <c r="H52" s="17">
        <f t="shared" si="51"/>
        <v>7.4290017933420494E-2</v>
      </c>
      <c r="I52" s="17">
        <f t="shared" si="51"/>
        <v>2.5665558857029813</v>
      </c>
      <c r="J52" s="17">
        <f t="shared" si="51"/>
        <v>2.6187428502195242</v>
      </c>
      <c r="L52" t="str">
        <f>$A$14</f>
        <v>Sales and customer service occupations</v>
      </c>
      <c r="M52" s="17">
        <f t="shared" si="43"/>
        <v>-0.40203821978779253</v>
      </c>
      <c r="N52" s="17">
        <f t="shared" si="44"/>
        <v>1.0501467526382591</v>
      </c>
      <c r="O52" s="17">
        <f t="shared" si="45"/>
        <v>0.66241651148926106</v>
      </c>
      <c r="P52" s="17">
        <f t="shared" si="46"/>
        <v>0.34808096112790565</v>
      </c>
      <c r="Q52" s="17">
        <f t="shared" si="55"/>
        <v>0.4527502633503877</v>
      </c>
      <c r="S52" s="17">
        <f t="shared" ref="S52:U52" si="65">IF($F$6-$D$6 &lt;&gt; 0,(EXP(LN(1+(S32/100))/($F$6-$D$6))-1)*100,0)</f>
        <v>0.4527502633503877</v>
      </c>
      <c r="T52" s="17">
        <f t="shared" si="65"/>
        <v>2.0357194801624789</v>
      </c>
      <c r="U52" s="17">
        <f t="shared" si="65"/>
        <v>2.3799568780666247</v>
      </c>
      <c r="W52" t="str">
        <f>$A$14</f>
        <v>Sales and customer service occupations</v>
      </c>
      <c r="X52" s="17">
        <f t="shared" si="47"/>
        <v>-0.77190310080926805</v>
      </c>
      <c r="Y52" s="17">
        <f t="shared" si="48"/>
        <v>-2.7109152996786956</v>
      </c>
      <c r="Z52" s="17">
        <f t="shared" si="49"/>
        <v>-0.22704136674884801</v>
      </c>
      <c r="AA52" s="17">
        <f t="shared" si="50"/>
        <v>-0.18883450470216223</v>
      </c>
      <c r="AB52" s="17">
        <f t="shared" si="57"/>
        <v>-0.20157175075902201</v>
      </c>
      <c r="AD52" s="17">
        <f t="shared" ref="AD52:AF52" si="66">IF($F$6-$D$6 &lt;&gt; 0,(EXP(LN(1+(AD32/100))/($F$6-$D$6))-1)*100,0)</f>
        <v>-0.20157175075902201</v>
      </c>
      <c r="AE52" s="17">
        <f t="shared" si="66"/>
        <v>2.9146729417270478</v>
      </c>
      <c r="AF52" s="17">
        <f t="shared" si="66"/>
        <v>2.7805236713868808</v>
      </c>
    </row>
    <row r="53" spans="1:32" x14ac:dyDescent="0.3">
      <c r="A53" t="str">
        <f>$A$15</f>
        <v>Process, plant and machine operatives</v>
      </c>
      <c r="B53" s="17">
        <f t="shared" si="42"/>
        <v>1.4292164760136616</v>
      </c>
      <c r="C53" s="17">
        <f t="shared" si="42"/>
        <v>-11.141683092182774</v>
      </c>
      <c r="D53" s="17">
        <f t="shared" si="42"/>
        <v>2.3620132807195882</v>
      </c>
      <c r="E53" s="17">
        <f t="shared" si="42"/>
        <v>-8.5150352583540645E-2</v>
      </c>
      <c r="F53" s="17">
        <f t="shared" si="54"/>
        <v>0.72400034116195666</v>
      </c>
      <c r="H53" s="17">
        <f t="shared" si="51"/>
        <v>0.72400034116195666</v>
      </c>
      <c r="I53" s="17">
        <f t="shared" si="51"/>
        <v>2.8596157798873811</v>
      </c>
      <c r="J53" s="17">
        <f t="shared" si="51"/>
        <v>3.3558943501981631</v>
      </c>
      <c r="L53" t="str">
        <f>$A$15</f>
        <v>Process, plant and machine operatives</v>
      </c>
      <c r="M53" s="17">
        <f t="shared" si="43"/>
        <v>1.5134859935608702</v>
      </c>
      <c r="N53" s="17">
        <f t="shared" si="44"/>
        <v>-11.082077082479003</v>
      </c>
      <c r="O53" s="17">
        <f t="shared" si="45"/>
        <v>1.8542959463483388</v>
      </c>
      <c r="P53" s="17">
        <f t="shared" si="46"/>
        <v>-0.19927522632040562</v>
      </c>
      <c r="Q53" s="17">
        <f t="shared" si="55"/>
        <v>0.4806063610363287</v>
      </c>
      <c r="S53" s="17">
        <f t="shared" ref="S53:U53" si="67">IF($F$6-$D$6 &lt;&gt; 0,(EXP(LN(1+(S33/100))/($F$6-$D$6))-1)*100,0)</f>
        <v>0.4806063610363287</v>
      </c>
      <c r="T53" s="17">
        <f t="shared" si="67"/>
        <v>2.7480517460933163</v>
      </c>
      <c r="U53" s="17">
        <f t="shared" si="67"/>
        <v>3.0805308979184209</v>
      </c>
      <c r="W53" t="str">
        <f>$A$15</f>
        <v>Process, plant and machine operatives</v>
      </c>
      <c r="X53" s="17">
        <f t="shared" si="47"/>
        <v>0.83569232671381055</v>
      </c>
      <c r="Y53" s="17">
        <f t="shared" si="48"/>
        <v>-11.568597430131145</v>
      </c>
      <c r="Z53" s="17">
        <f t="shared" si="49"/>
        <v>5.7504543709220313</v>
      </c>
      <c r="AA53" s="17">
        <f t="shared" si="50"/>
        <v>0.57275671791612304</v>
      </c>
      <c r="AB53" s="17">
        <f t="shared" si="57"/>
        <v>2.2698573726601889</v>
      </c>
      <c r="AD53" s="17">
        <f t="shared" ref="AD53:AF53" si="68">IF($F$6-$D$6 &lt;&gt; 0,(EXP(LN(1+(AD33/100))/($F$6-$D$6))-1)*100,0)</f>
        <v>2.2698573726601889</v>
      </c>
      <c r="AE53" s="17">
        <f t="shared" si="68"/>
        <v>3.6167119013094773</v>
      </c>
      <c r="AF53" s="17">
        <f t="shared" si="68"/>
        <v>5.0845853988541245</v>
      </c>
    </row>
    <row r="54" spans="1:32" x14ac:dyDescent="0.3">
      <c r="A54" t="str">
        <f>$A$16</f>
        <v>Elementary occupations</v>
      </c>
      <c r="B54" s="17">
        <f t="shared" si="42"/>
        <v>-9.0592976536785219E-2</v>
      </c>
      <c r="C54" s="17">
        <f t="shared" si="42"/>
        <v>-8.7753843905906788</v>
      </c>
      <c r="D54" s="17">
        <f t="shared" si="42"/>
        <v>5.5244845366719808E-2</v>
      </c>
      <c r="E54" s="17">
        <f t="shared" si="42"/>
        <v>-0.34660984962215924</v>
      </c>
      <c r="F54" s="17">
        <f t="shared" si="54"/>
        <v>-0.21283793663661177</v>
      </c>
      <c r="H54" s="17">
        <f t="shared" si="51"/>
        <v>-0.21283793663661177</v>
      </c>
      <c r="I54" s="17">
        <f t="shared" si="51"/>
        <v>2.6161892785740992</v>
      </c>
      <c r="J54" s="17">
        <f t="shared" si="51"/>
        <v>2.4686411413878728</v>
      </c>
      <c r="L54" t="str">
        <f>$A$16</f>
        <v>Elementary occupations</v>
      </c>
      <c r="M54" s="17">
        <f t="shared" si="43"/>
        <v>-0.94270919507348783</v>
      </c>
      <c r="N54" s="17">
        <f t="shared" si="44"/>
        <v>-6.0901172879912702</v>
      </c>
      <c r="O54" s="17">
        <f t="shared" si="45"/>
        <v>0.47951618827408726</v>
      </c>
      <c r="P54" s="17">
        <f t="shared" si="46"/>
        <v>-0.41879741318111563</v>
      </c>
      <c r="Q54" s="17">
        <f t="shared" si="55"/>
        <v>-0.12025546174024848</v>
      </c>
      <c r="S54" s="17">
        <f t="shared" ref="S54:U54" si="69">IF($F$6-$D$6 &lt;&gt; 0,(EXP(LN(1+(S34/100))/($F$6-$D$6))-1)*100,0)</f>
        <v>-0.12025546174024848</v>
      </c>
      <c r="T54" s="17">
        <f t="shared" si="69"/>
        <v>2.2383793854437561</v>
      </c>
      <c r="U54" s="17">
        <f t="shared" si="69"/>
        <v>2.1503815509804625</v>
      </c>
      <c r="W54" t="str">
        <f>$A$16</f>
        <v>Elementary occupations</v>
      </c>
      <c r="X54" s="17">
        <f t="shared" si="47"/>
        <v>0.86205749365109163</v>
      </c>
      <c r="Y54" s="17">
        <f t="shared" si="48"/>
        <v>-11.644997408622682</v>
      </c>
      <c r="Z54" s="17">
        <f t="shared" si="49"/>
        <v>-0.43555393724233893</v>
      </c>
      <c r="AA54" s="17">
        <f t="shared" si="50"/>
        <v>-0.26138672286700748</v>
      </c>
      <c r="AB54" s="17">
        <f t="shared" si="57"/>
        <v>-0.31947628683175466</v>
      </c>
      <c r="AD54" s="17">
        <f t="shared" ref="AD54:AF54" si="70">IF($F$6-$D$6 &lt;&gt; 0,(EXP(LN(1+(AD34/100))/($F$6-$D$6))-1)*100,0)</f>
        <v>-0.31947628683175466</v>
      </c>
      <c r="AE54" s="17">
        <f t="shared" si="70"/>
        <v>3.0229516874336726</v>
      </c>
      <c r="AF54" s="17">
        <f t="shared" si="70"/>
        <v>2.8141044093904055</v>
      </c>
    </row>
    <row r="55" spans="1:32" x14ac:dyDescent="0.3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3">
      <c r="A56" s="23" t="str">
        <f>$A$18</f>
        <v>All occupations</v>
      </c>
      <c r="B56" s="25">
        <f>IF(C$6-B$6 &lt;&gt; 0,(EXP(LN(C18/B18)/(C$6-B$6))-1)*100,0)</f>
        <v>1.3311698180238585</v>
      </c>
      <c r="C56" s="25">
        <f>IF(D$6-C$6 &lt;&gt; 0,(EXP(LN(D18/C18)/(D$6-C$6))-1)*100,0)</f>
        <v>-1.1686419909962109</v>
      </c>
      <c r="D56" s="25">
        <f>IF(E$6-D$6 &lt;&gt; 0,(EXP(LN(E18/D18)/(E$6-D$6))-1)*100,0)</f>
        <v>0.59245370532130526</v>
      </c>
      <c r="E56" s="25">
        <f>IF(F$6-E$6 &lt;&gt; 0,(EXP(LN(F18/E18)/(F$6-E$6))-1)*100,0)</f>
        <v>0.4196727942317624</v>
      </c>
      <c r="F56" s="25">
        <f t="shared" si="54"/>
        <v>0.477233431154378</v>
      </c>
      <c r="H56" s="25">
        <f t="shared" si="51"/>
        <v>0.477233431154378</v>
      </c>
      <c r="I56" s="25">
        <f t="shared" ref="I56" si="71">IF($F$6-$D$6 &lt;&gt; 0,(EXP(LN(1+(I36/100))/($F$6-$D$6))-1)*100,0)</f>
        <v>2.7488732002161065</v>
      </c>
      <c r="J56" s="25">
        <f t="shared" ref="J56" si="72">IF($F$6-$D$6 &lt;&gt; 0,(EXP(LN(1+(J36/100))/($F$6-$D$6))-1)*100,0)</f>
        <v>3.0789576855359879</v>
      </c>
      <c r="L56" s="23" t="str">
        <f>$A$18</f>
        <v>All occupations</v>
      </c>
      <c r="M56" s="25">
        <f>IF(N$6-M$6 &lt;&gt; 0,(EXP(LN(N18/M18)/(N$6-M$6))-1)*100,0)</f>
        <v>1.1301573635468465</v>
      </c>
      <c r="N56" s="25">
        <f>IF(O$6-N$6 &lt;&gt; 0,(EXP(LN(O18/N18)/(O$6-N$6))-1)*100,0)</f>
        <v>-1.9752975092032776</v>
      </c>
      <c r="O56" s="25">
        <f>IF(P$6-O$6 &lt;&gt; 0,(EXP(LN(P18/O18)/(P$6-O$6))-1)*100,0)</f>
        <v>0.55035003671399796</v>
      </c>
      <c r="P56" s="25">
        <f>IF(Q$6-P$6 &lt;&gt; 0,(EXP(LN(Q18/P18)/(Q$6-P$6))-1)*100,0)</f>
        <v>0.35463380786928678</v>
      </c>
      <c r="Q56" s="25">
        <f t="shared" ref="Q56" si="73">IF(Q$6-O$6 &lt;&gt; 0,(EXP(LN(Q18/O18)/(Q$6-O$6))-1)*100,0)</f>
        <v>0.41983018617468559</v>
      </c>
      <c r="S56" s="25">
        <f t="shared" ref="S56:U56" si="74">IF($F$6-$D$6 &lt;&gt; 0,(EXP(LN(1+(S36/100))/($F$6-$D$6))-1)*100,0)</f>
        <v>0.41983018617468559</v>
      </c>
      <c r="T56" s="25">
        <f t="shared" si="74"/>
        <v>2.3650722104910926</v>
      </c>
      <c r="U56" s="25">
        <f t="shared" si="74"/>
        <v>2.670330829698786</v>
      </c>
      <c r="W56" s="23" t="str">
        <f>$A$18</f>
        <v>All occupations</v>
      </c>
      <c r="X56" s="25">
        <f>IF(Y$6-X$6 &lt;&gt; 0,(EXP(LN(Y18/X18)/(Y$6-X$6))-1)*100,0)</f>
        <v>1.5535910225281446</v>
      </c>
      <c r="Y56" s="25">
        <f>IF(Z$6-Y$6 &lt;&gt; 0,(EXP(LN(Z18/Y18)/(Z$6-Y$6))-1)*100,0)</f>
        <v>-0.28534843837857427</v>
      </c>
      <c r="Z56" s="25">
        <f>IF(AA$6-Z$6 &lt;&gt; 0,(EXP(LN(AA18/Z18)/(AA$6-Z$6))-1)*100,0)</f>
        <v>0.63769752103586264</v>
      </c>
      <c r="AA56" s="25">
        <f>IF(AB$6-AA$6 &lt;&gt; 0,(EXP(LN(AB18/AA18)/(AB$6-AA$6))-1)*100,0)</f>
        <v>0.48896229886756792</v>
      </c>
      <c r="AB56" s="25">
        <f t="shared" ref="AB56" si="75">IF(AB$6-Z$6 &lt;&gt; 0,(EXP(LN(AB18/Z18)/(AB$6-Z$6))-1)*100,0)</f>
        <v>0.5385162657690179</v>
      </c>
      <c r="AD56" s="25">
        <f t="shared" ref="AD56:AF56" si="76">IF($F$6-$D$6 &lt;&gt; 0,(EXP(LN(1+(AD36/100))/($F$6-$D$6))-1)*100,0)</f>
        <v>0.5385162657690179</v>
      </c>
      <c r="AE56" s="25">
        <f t="shared" si="76"/>
        <v>3.1407488233836656</v>
      </c>
      <c r="AF56" s="25">
        <f t="shared" si="76"/>
        <v>3.4948698403779233</v>
      </c>
    </row>
    <row r="57" spans="1:32" x14ac:dyDescent="0.3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3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3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3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3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3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3">
      <c r="A64" t="str">
        <f>$A$8</f>
        <v>Managers, directors and senior officials</v>
      </c>
      <c r="B64" s="26">
        <f t="shared" ref="B64:E72" si="77">C8-B8</f>
        <v>418.83273656857364</v>
      </c>
      <c r="C64" s="26">
        <f t="shared" si="77"/>
        <v>56.175361813276595</v>
      </c>
      <c r="D64" s="26">
        <f t="shared" si="77"/>
        <v>103.70494790056819</v>
      </c>
      <c r="E64" s="26">
        <f t="shared" si="77"/>
        <v>395.4936928765128</v>
      </c>
      <c r="F64" s="26">
        <f>F8-D8</f>
        <v>499.19864077708098</v>
      </c>
      <c r="L64" t="str">
        <f>$A$8</f>
        <v>Managers, directors and senior officials</v>
      </c>
      <c r="M64" s="26">
        <f t="shared" ref="M64:M72" si="78">N8-M8</f>
        <v>217.05399471172313</v>
      </c>
      <c r="N64" s="26">
        <f t="shared" ref="N64:N72" si="79">O8-N8</f>
        <v>8.4676689860061742</v>
      </c>
      <c r="O64" s="26">
        <f t="shared" ref="O64:O72" si="80">P8-O8</f>
        <v>22.505279967899241</v>
      </c>
      <c r="P64" s="26">
        <f t="shared" ref="P64:P72" si="81">Q8-P8</f>
        <v>179.31142498118288</v>
      </c>
      <c r="Q64" s="26">
        <f>Q8-O8</f>
        <v>201.81670494908212</v>
      </c>
      <c r="W64" t="str">
        <f>$A$8</f>
        <v>Managers, directors and senior officials</v>
      </c>
      <c r="X64" s="26">
        <f t="shared" ref="X64:X72" si="82">Y8-X8</f>
        <v>201.77874185685005</v>
      </c>
      <c r="Y64" s="26">
        <f t="shared" ref="Y64:Y72" si="83">Z8-Y8</f>
        <v>47.707692827267238</v>
      </c>
      <c r="Z64" s="26">
        <f t="shared" ref="Z64:Z72" si="84">AA8-Z8</f>
        <v>81.199667932669627</v>
      </c>
      <c r="AA64" s="26">
        <f t="shared" ref="AA64:AA72" si="85">AB8-AA8</f>
        <v>216.18226789533401</v>
      </c>
      <c r="AB64" s="26">
        <f>AB8-Z8</f>
        <v>297.38193582800363</v>
      </c>
    </row>
    <row r="65" spans="1:31" x14ac:dyDescent="0.3">
      <c r="A65" t="str">
        <f>$A$9</f>
        <v>Professional occupations</v>
      </c>
      <c r="B65" s="26">
        <f t="shared" si="77"/>
        <v>832.9318320221264</v>
      </c>
      <c r="C65" s="26">
        <f t="shared" si="77"/>
        <v>296.7324327110764</v>
      </c>
      <c r="D65" s="26">
        <f t="shared" si="77"/>
        <v>574.93221747693497</v>
      </c>
      <c r="E65" s="26">
        <f t="shared" si="77"/>
        <v>794.84360518071298</v>
      </c>
      <c r="F65" s="26">
        <f t="shared" ref="F65:F72" si="86">F9-D9</f>
        <v>1369.775822657648</v>
      </c>
      <c r="L65" t="str">
        <f>$A$9</f>
        <v>Professional occupations</v>
      </c>
      <c r="M65" s="26">
        <f t="shared" si="78"/>
        <v>392.1575210674373</v>
      </c>
      <c r="N65" s="26">
        <f t="shared" si="79"/>
        <v>113.73336290093903</v>
      </c>
      <c r="O65" s="26">
        <f t="shared" si="80"/>
        <v>267.30495941376012</v>
      </c>
      <c r="P65" s="26">
        <f t="shared" si="81"/>
        <v>322.15040464250433</v>
      </c>
      <c r="Q65" s="26">
        <f t="shared" ref="Q65:Q72" si="87">Q9-O9</f>
        <v>589.45536405626444</v>
      </c>
      <c r="W65" t="str">
        <f>$A$9</f>
        <v>Professional occupations</v>
      </c>
      <c r="X65" s="26">
        <f t="shared" si="82"/>
        <v>440.77431095469956</v>
      </c>
      <c r="Y65" s="26">
        <f t="shared" si="83"/>
        <v>182.99906981012919</v>
      </c>
      <c r="Z65" s="26">
        <f t="shared" si="84"/>
        <v>307.62725806316757</v>
      </c>
      <c r="AA65" s="26">
        <f t="shared" si="85"/>
        <v>472.69320053820502</v>
      </c>
      <c r="AB65" s="26">
        <f t="shared" ref="AB65:AB72" si="88">AB9-Z9</f>
        <v>780.32045860137259</v>
      </c>
    </row>
    <row r="66" spans="1:31" x14ac:dyDescent="0.3">
      <c r="A66" t="str">
        <f>$A$10</f>
        <v>Associate professional occupations</v>
      </c>
      <c r="B66" s="26">
        <f t="shared" si="77"/>
        <v>293.21103937835869</v>
      </c>
      <c r="C66" s="26">
        <f t="shared" si="77"/>
        <v>186.03571488631587</v>
      </c>
      <c r="D66" s="26">
        <f t="shared" si="77"/>
        <v>-67.115301105437993</v>
      </c>
      <c r="E66" s="26">
        <f t="shared" si="77"/>
        <v>308.67086261937357</v>
      </c>
      <c r="F66" s="26">
        <f t="shared" si="86"/>
        <v>241.55556151393557</v>
      </c>
      <c r="L66" t="str">
        <f>$A$10</f>
        <v>Associate professional occupations</v>
      </c>
      <c r="M66" s="26">
        <f t="shared" si="78"/>
        <v>124.93198240136371</v>
      </c>
      <c r="N66" s="26">
        <f t="shared" si="79"/>
        <v>79.892098654653182</v>
      </c>
      <c r="O66" s="26">
        <f t="shared" si="80"/>
        <v>-117.77423221578283</v>
      </c>
      <c r="P66" s="26">
        <f t="shared" si="81"/>
        <v>74.093081973817789</v>
      </c>
      <c r="Q66" s="26">
        <f t="shared" si="87"/>
        <v>-43.681150241965042</v>
      </c>
      <c r="W66" t="str">
        <f>$A$10</f>
        <v>Associate professional occupations</v>
      </c>
      <c r="X66" s="26">
        <f t="shared" si="82"/>
        <v>168.27905697699543</v>
      </c>
      <c r="Y66" s="26">
        <f t="shared" si="83"/>
        <v>106.14361623166815</v>
      </c>
      <c r="Z66" s="26">
        <f t="shared" si="84"/>
        <v>50.65893111034984</v>
      </c>
      <c r="AA66" s="26">
        <f t="shared" si="85"/>
        <v>234.57778064555032</v>
      </c>
      <c r="AB66" s="26">
        <f t="shared" si="88"/>
        <v>285.23671175590016</v>
      </c>
    </row>
    <row r="67" spans="1:31" x14ac:dyDescent="0.3">
      <c r="A67" t="str">
        <f>$A$11</f>
        <v>Administrative and secretarial occupations</v>
      </c>
      <c r="B67" s="26">
        <f t="shared" si="77"/>
        <v>-88.587134656135731</v>
      </c>
      <c r="C67" s="26">
        <f t="shared" si="77"/>
        <v>86.123711684230784</v>
      </c>
      <c r="D67" s="26">
        <f t="shared" si="77"/>
        <v>-178.06234065907165</v>
      </c>
      <c r="E67" s="26">
        <f t="shared" si="77"/>
        <v>-248.84594093242049</v>
      </c>
      <c r="F67" s="26">
        <f t="shared" si="86"/>
        <v>-426.90828159149214</v>
      </c>
      <c r="L67" t="str">
        <f>$A$11</f>
        <v>Administrative and secretarial occupations</v>
      </c>
      <c r="M67" s="26">
        <f t="shared" si="78"/>
        <v>-42.847026525938873</v>
      </c>
      <c r="N67" s="26">
        <f t="shared" si="79"/>
        <v>125.56849279973198</v>
      </c>
      <c r="O67" s="26">
        <f t="shared" si="80"/>
        <v>-28.332382134431668</v>
      </c>
      <c r="P67" s="26">
        <f t="shared" si="81"/>
        <v>72.297984063308377</v>
      </c>
      <c r="Q67" s="26">
        <f t="shared" si="87"/>
        <v>43.965601928876708</v>
      </c>
      <c r="W67" t="str">
        <f>$A$11</f>
        <v>Administrative and secretarial occupations</v>
      </c>
      <c r="X67" s="26">
        <f t="shared" si="82"/>
        <v>-45.74010813019504</v>
      </c>
      <c r="Y67" s="26">
        <f t="shared" si="83"/>
        <v>-39.444781115505066</v>
      </c>
      <c r="Z67" s="26">
        <f t="shared" si="84"/>
        <v>-149.72995852463373</v>
      </c>
      <c r="AA67" s="26">
        <f t="shared" si="85"/>
        <v>-321.14392499572682</v>
      </c>
      <c r="AB67" s="26">
        <f t="shared" si="88"/>
        <v>-470.87388352036055</v>
      </c>
    </row>
    <row r="68" spans="1:31" x14ac:dyDescent="0.3">
      <c r="A68" t="str">
        <f>$A$12</f>
        <v>Skilled trades occupations</v>
      </c>
      <c r="B68" s="26">
        <f t="shared" si="77"/>
        <v>-38.919501869974283</v>
      </c>
      <c r="C68" s="26">
        <f t="shared" si="77"/>
        <v>-340.49320683841006</v>
      </c>
      <c r="D68" s="26">
        <f t="shared" si="77"/>
        <v>43.959369771858746</v>
      </c>
      <c r="E68" s="26">
        <f t="shared" si="77"/>
        <v>-60.099390817227231</v>
      </c>
      <c r="F68" s="26">
        <f t="shared" si="86"/>
        <v>-16.140021045368485</v>
      </c>
      <c r="L68" t="str">
        <f>$A$12</f>
        <v>Skilled trades occupations</v>
      </c>
      <c r="M68" s="26">
        <f t="shared" si="78"/>
        <v>-40.499683244261178</v>
      </c>
      <c r="N68" s="26">
        <f t="shared" si="79"/>
        <v>-351.9871495511552</v>
      </c>
      <c r="O68" s="26">
        <f t="shared" si="80"/>
        <v>3.8963113611225708</v>
      </c>
      <c r="P68" s="26">
        <f t="shared" si="81"/>
        <v>-97.424410631852879</v>
      </c>
      <c r="Q68" s="26">
        <f t="shared" si="87"/>
        <v>-93.528099270730308</v>
      </c>
      <c r="W68" t="str">
        <f>$A$12</f>
        <v>Skilled trades occupations</v>
      </c>
      <c r="X68" s="26">
        <f t="shared" si="82"/>
        <v>1.5801813742905892</v>
      </c>
      <c r="Y68" s="26">
        <f t="shared" si="83"/>
        <v>11.493942712745138</v>
      </c>
      <c r="Z68" s="26">
        <f t="shared" si="84"/>
        <v>40.063058410730093</v>
      </c>
      <c r="AA68" s="26">
        <f t="shared" si="85"/>
        <v>37.325019814627638</v>
      </c>
      <c r="AB68" s="26">
        <f t="shared" si="88"/>
        <v>77.388078225357731</v>
      </c>
    </row>
    <row r="69" spans="1:31" x14ac:dyDescent="0.3">
      <c r="A69" t="str">
        <f>$A$13</f>
        <v>Caring, leisure and other service occupations</v>
      </c>
      <c r="B69" s="26">
        <f t="shared" si="77"/>
        <v>108.49918964433255</v>
      </c>
      <c r="C69" s="26">
        <f t="shared" si="77"/>
        <v>-111.78225455721122</v>
      </c>
      <c r="D69" s="26">
        <f t="shared" si="77"/>
        <v>186.74703421174263</v>
      </c>
      <c r="E69" s="26">
        <f t="shared" si="77"/>
        <v>234.18023806349083</v>
      </c>
      <c r="F69" s="26">
        <f t="shared" si="86"/>
        <v>420.92727227523346</v>
      </c>
      <c r="L69" t="str">
        <f>$A$13</f>
        <v>Caring, leisure and other service occupations</v>
      </c>
      <c r="M69" s="26">
        <f t="shared" si="78"/>
        <v>28.855157732408543</v>
      </c>
      <c r="N69" s="26">
        <f t="shared" si="79"/>
        <v>-12.266087053307047</v>
      </c>
      <c r="O69" s="26">
        <f t="shared" si="80"/>
        <v>71.460938406947548</v>
      </c>
      <c r="P69" s="26">
        <f t="shared" si="81"/>
        <v>86.242317078458427</v>
      </c>
      <c r="Q69" s="26">
        <f t="shared" si="87"/>
        <v>157.70325548540598</v>
      </c>
      <c r="W69" t="str">
        <f>$A$13</f>
        <v>Caring, leisure and other service occupations</v>
      </c>
      <c r="X69" s="26">
        <f t="shared" si="82"/>
        <v>79.644031911923776</v>
      </c>
      <c r="Y69" s="26">
        <f t="shared" si="83"/>
        <v>-99.516167503899396</v>
      </c>
      <c r="Z69" s="26">
        <f t="shared" si="84"/>
        <v>115.28609580479724</v>
      </c>
      <c r="AA69" s="26">
        <f t="shared" si="85"/>
        <v>147.93792098503127</v>
      </c>
      <c r="AB69" s="26">
        <f t="shared" si="88"/>
        <v>263.22401678982851</v>
      </c>
    </row>
    <row r="70" spans="1:31" x14ac:dyDescent="0.3">
      <c r="A70" t="str">
        <f>$A$14</f>
        <v>Sales and customer service occupations</v>
      </c>
      <c r="B70" s="26">
        <f t="shared" si="77"/>
        <v>-60.652574215102049</v>
      </c>
      <c r="C70" s="26">
        <f t="shared" si="77"/>
        <v>-28.728802421082946</v>
      </c>
      <c r="D70" s="26">
        <f t="shared" si="77"/>
        <v>16.806581530819585</v>
      </c>
      <c r="E70" s="26">
        <f t="shared" si="77"/>
        <v>9.6554236327947365</v>
      </c>
      <c r="F70" s="26">
        <f t="shared" si="86"/>
        <v>26.462005163614322</v>
      </c>
      <c r="L70" t="str">
        <f>$A$14</f>
        <v>Sales and customer service occupations</v>
      </c>
      <c r="M70" s="26">
        <f t="shared" si="78"/>
        <v>-15.588072174369813</v>
      </c>
      <c r="N70" s="26">
        <f t="shared" si="79"/>
        <v>10.077128378883344</v>
      </c>
      <c r="O70" s="26">
        <f t="shared" si="80"/>
        <v>32.544569758134799</v>
      </c>
      <c r="P70" s="26">
        <f t="shared" si="81"/>
        <v>35.436696328933635</v>
      </c>
      <c r="Q70" s="26">
        <f t="shared" si="87"/>
        <v>67.981266087068434</v>
      </c>
      <c r="W70" t="str">
        <f>$A$14</f>
        <v>Sales and customer service occupations</v>
      </c>
      <c r="X70" s="26">
        <f t="shared" si="82"/>
        <v>-45.064502040734624</v>
      </c>
      <c r="Y70" s="26">
        <f t="shared" si="83"/>
        <v>-38.80593079996811</v>
      </c>
      <c r="Z70" s="26">
        <f t="shared" si="84"/>
        <v>-15.737988227308506</v>
      </c>
      <c r="AA70" s="26">
        <f t="shared" si="85"/>
        <v>-25.78127269614356</v>
      </c>
      <c r="AB70" s="26">
        <f t="shared" si="88"/>
        <v>-41.519260923452066</v>
      </c>
    </row>
    <row r="71" spans="1:31" x14ac:dyDescent="0.3">
      <c r="A71" t="str">
        <f>$A$15</f>
        <v>Process, plant and machine operatives</v>
      </c>
      <c r="B71" s="26">
        <f t="shared" si="77"/>
        <v>103.22237952410114</v>
      </c>
      <c r="C71" s="26">
        <f t="shared" si="77"/>
        <v>-208.41053959372312</v>
      </c>
      <c r="D71" s="26">
        <f t="shared" si="77"/>
        <v>205.79442474029088</v>
      </c>
      <c r="E71" s="26">
        <f t="shared" si="77"/>
        <v>-15.844698582371166</v>
      </c>
      <c r="F71" s="26">
        <f t="shared" si="86"/>
        <v>189.94972615791971</v>
      </c>
      <c r="L71" t="str">
        <f>$A$15</f>
        <v>Process, plant and machine operatives</v>
      </c>
      <c r="M71" s="26">
        <f t="shared" si="78"/>
        <v>95.719164178595065</v>
      </c>
      <c r="N71" s="26">
        <f t="shared" si="79"/>
        <v>-181.89877554963459</v>
      </c>
      <c r="O71" s="26">
        <f t="shared" si="80"/>
        <v>140.42753376599376</v>
      </c>
      <c r="P71" s="26">
        <f t="shared" si="81"/>
        <v>-31.5977924160361</v>
      </c>
      <c r="Q71" s="26">
        <f t="shared" si="87"/>
        <v>108.82974134995766</v>
      </c>
      <c r="W71" t="str">
        <f>$A$15</f>
        <v>Process, plant and machine operatives</v>
      </c>
      <c r="X71" s="26">
        <f t="shared" si="82"/>
        <v>7.5032153455055379</v>
      </c>
      <c r="Y71" s="26">
        <f t="shared" si="83"/>
        <v>-26.511764044086476</v>
      </c>
      <c r="Z71" s="26">
        <f t="shared" si="84"/>
        <v>65.366890974297917</v>
      </c>
      <c r="AA71" s="26">
        <f t="shared" si="85"/>
        <v>15.753093833666753</v>
      </c>
      <c r="AB71" s="26">
        <f t="shared" si="88"/>
        <v>81.11998480796467</v>
      </c>
    </row>
    <row r="72" spans="1:31" x14ac:dyDescent="0.3">
      <c r="A72" t="str">
        <f>$A$16</f>
        <v>Elementary occupations</v>
      </c>
      <c r="B72" s="26">
        <f t="shared" si="77"/>
        <v>-11.949966400185986</v>
      </c>
      <c r="C72" s="26">
        <f t="shared" si="77"/>
        <v>-288.73141768331152</v>
      </c>
      <c r="D72" s="26">
        <f t="shared" si="77"/>
        <v>8.3000661472897264</v>
      </c>
      <c r="E72" s="26">
        <f t="shared" si="77"/>
        <v>-102.71079205198157</v>
      </c>
      <c r="F72" s="26">
        <f t="shared" si="86"/>
        <v>-94.410725904691844</v>
      </c>
      <c r="L72" t="str">
        <f>$A$16</f>
        <v>Elementary occupations</v>
      </c>
      <c r="M72" s="26">
        <f t="shared" si="78"/>
        <v>-65.633038148703918</v>
      </c>
      <c r="N72" s="26">
        <f t="shared" si="79"/>
        <v>-103.51473956533096</v>
      </c>
      <c r="O72" s="26">
        <f t="shared" si="80"/>
        <v>38.639021677820438</v>
      </c>
      <c r="P72" s="26">
        <f t="shared" si="81"/>
        <v>-67.190706021782944</v>
      </c>
      <c r="Q72" s="26">
        <f t="shared" si="87"/>
        <v>-28.551684343962506</v>
      </c>
      <c r="W72" t="str">
        <f>$A$16</f>
        <v>Elementary occupations</v>
      </c>
      <c r="X72" s="26">
        <f t="shared" si="82"/>
        <v>53.68307174851725</v>
      </c>
      <c r="Y72" s="26">
        <f t="shared" si="83"/>
        <v>-185.2166781179742</v>
      </c>
      <c r="Z72" s="26">
        <f t="shared" si="84"/>
        <v>-30.338955530525027</v>
      </c>
      <c r="AA72" s="26">
        <f t="shared" si="85"/>
        <v>-35.520086030211132</v>
      </c>
      <c r="AB72" s="26">
        <f t="shared" si="88"/>
        <v>-65.859041560736159</v>
      </c>
    </row>
    <row r="73" spans="1:31" x14ac:dyDescent="0.3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3">
      <c r="A74" s="23" t="str">
        <f>$A$18</f>
        <v>All occupations</v>
      </c>
      <c r="B74" s="28">
        <f>C18-B18</f>
        <v>1556.5879999960925</v>
      </c>
      <c r="C74" s="28">
        <f t="shared" ref="C74" si="89">D18-C18</f>
        <v>-353.07899999883375</v>
      </c>
      <c r="D74" s="28">
        <f>E18-D18</f>
        <v>895.06700001498757</v>
      </c>
      <c r="E74" s="28">
        <f>F18-E18</f>
        <v>1315.3429999888831</v>
      </c>
      <c r="F74" s="28">
        <f>F18-D18</f>
        <v>2210.4100000038707</v>
      </c>
      <c r="L74" s="23" t="str">
        <f>$A$18</f>
        <v>All occupations</v>
      </c>
      <c r="M74" s="28">
        <f>N18-M18</f>
        <v>694.14999999825886</v>
      </c>
      <c r="N74" s="28">
        <f t="shared" ref="N74" si="90">O18-N18</f>
        <v>-311.92799999921772</v>
      </c>
      <c r="O74" s="28">
        <f>P18-O18</f>
        <v>430.67200000146659</v>
      </c>
      <c r="P74" s="28">
        <f>Q18-P18</f>
        <v>573.3189999985334</v>
      </c>
      <c r="Q74" s="28">
        <f>Q18-O18</f>
        <v>1003.991</v>
      </c>
      <c r="W74" s="23" t="str">
        <f>$A$18</f>
        <v>All occupations</v>
      </c>
      <c r="X74" s="28">
        <f>Y18-X18</f>
        <v>862.43799999785006</v>
      </c>
      <c r="Y74" s="28">
        <f t="shared" ref="Y74" si="91">Z18-Y18</f>
        <v>-41.150999999623309</v>
      </c>
      <c r="Z74" s="28">
        <f>AA18-Z18</f>
        <v>464.39500001354827</v>
      </c>
      <c r="AA74" s="28">
        <f>AB18-AA18</f>
        <v>742.0239999903315</v>
      </c>
      <c r="AB74" s="28">
        <f>AB18-Z18</f>
        <v>1206.4190000038798</v>
      </c>
    </row>
    <row r="78" spans="1:31" x14ac:dyDescent="0.3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3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3">
      <c r="A80" t="str">
        <f t="shared" ref="A80:F88" si="92">A8</f>
        <v>Managers, directors and senior officials</v>
      </c>
      <c r="B80" s="11">
        <f t="shared" si="92"/>
        <v>2822.9549666207236</v>
      </c>
      <c r="C80" s="11">
        <f t="shared" si="92"/>
        <v>3241.7877031892972</v>
      </c>
      <c r="D80" s="11">
        <f t="shared" si="92"/>
        <v>3297.9630650025738</v>
      </c>
      <c r="E80" s="11">
        <f t="shared" si="92"/>
        <v>3401.668012903142</v>
      </c>
      <c r="F80" s="11">
        <f t="shared" si="92"/>
        <v>3797.1617057796548</v>
      </c>
      <c r="H80" s="39">
        <f>IF(D$6-B$6 &lt;&gt; 0,(EXP(LN(D8/B8)/(D$6-B$6))-1)*100,0)</f>
        <v>3.1592954795900186</v>
      </c>
      <c r="I80" s="39">
        <f t="shared" ref="I80:I88" si="93">F46</f>
        <v>0.94408761033182298</v>
      </c>
      <c r="L80" t="str">
        <f t="shared" ref="L80:Q88" si="94">L8</f>
        <v>Managers, directors and senior officials</v>
      </c>
      <c r="M80" s="11">
        <f t="shared" si="94"/>
        <v>1873.7942274513753</v>
      </c>
      <c r="N80" s="11">
        <f t="shared" si="94"/>
        <v>2090.8482221630984</v>
      </c>
      <c r="O80" s="11">
        <f t="shared" si="94"/>
        <v>2099.3158911491046</v>
      </c>
      <c r="P80" s="11">
        <f t="shared" si="94"/>
        <v>2121.8211711170038</v>
      </c>
      <c r="Q80" s="11">
        <f t="shared" si="94"/>
        <v>2301.1325960981867</v>
      </c>
      <c r="S80" s="39">
        <f t="shared" ref="S80:S88" si="95">IF(O$6-M$6 &lt;&gt; 0,(EXP(LN(O8/M8)/(O$6-M$6))-1)*100,0)</f>
        <v>2.2989507515828844</v>
      </c>
      <c r="T80" s="39">
        <f t="shared" ref="T80:T88" si="96">Q46</f>
        <v>0.61380886178870053</v>
      </c>
      <c r="W80" t="str">
        <f t="shared" ref="W80:AB88" si="97">W8</f>
        <v>Managers, directors and senior officials</v>
      </c>
      <c r="X80" s="11">
        <f t="shared" si="97"/>
        <v>949.16073916934988</v>
      </c>
      <c r="Y80" s="11">
        <f t="shared" si="97"/>
        <v>1150.9394810261999</v>
      </c>
      <c r="Z80" s="11">
        <f t="shared" si="97"/>
        <v>1198.6471738534672</v>
      </c>
      <c r="AA80" s="11">
        <f t="shared" si="97"/>
        <v>1279.8468417861368</v>
      </c>
      <c r="AB80" s="11">
        <f t="shared" si="97"/>
        <v>1496.0291096814708</v>
      </c>
      <c r="AD80" s="39">
        <f t="shared" ref="AD80:AD88" si="98">IF(Z$6-X$6 &lt;&gt; 0,(EXP(LN(Z8/X8)/(Z$6-X$6))-1)*100,0)</f>
        <v>4.7780520126082804</v>
      </c>
      <c r="AE80" s="39">
        <f t="shared" ref="AE80:AE88" si="99">AB46</f>
        <v>1.4884403805632385</v>
      </c>
    </row>
    <row r="81" spans="1:31" x14ac:dyDescent="0.3">
      <c r="A81" t="str">
        <f t="shared" si="92"/>
        <v>Professional occupations</v>
      </c>
      <c r="B81" s="11">
        <f t="shared" si="92"/>
        <v>5913.2437820431551</v>
      </c>
      <c r="C81" s="11">
        <f t="shared" si="92"/>
        <v>6746.1756140652815</v>
      </c>
      <c r="D81" s="11">
        <f t="shared" si="92"/>
        <v>7042.9080467763579</v>
      </c>
      <c r="E81" s="11">
        <f t="shared" si="92"/>
        <v>7617.8402642532928</v>
      </c>
      <c r="F81" s="11">
        <f t="shared" si="92"/>
        <v>8412.6838694340058</v>
      </c>
      <c r="H81" s="39">
        <f t="shared" ref="H81:H88" si="100">IF(D$6-B$6 &lt;&gt; 0,(EXP(LN(D9/B9)/(D$6-B$6))-1)*100,0)</f>
        <v>3.5583797355010827</v>
      </c>
      <c r="I81" s="39">
        <f t="shared" si="93"/>
        <v>1.1918424533805316</v>
      </c>
      <c r="L81" t="str">
        <f t="shared" si="94"/>
        <v>Professional occupations</v>
      </c>
      <c r="M81" s="11">
        <f t="shared" si="94"/>
        <v>3072.3892429772986</v>
      </c>
      <c r="N81" s="11">
        <f t="shared" si="94"/>
        <v>3464.5467640447359</v>
      </c>
      <c r="O81" s="11">
        <f t="shared" si="94"/>
        <v>3578.280126945675</v>
      </c>
      <c r="P81" s="11">
        <f t="shared" si="94"/>
        <v>3845.5850863594351</v>
      </c>
      <c r="Q81" s="11">
        <f t="shared" si="94"/>
        <v>4167.7354910019394</v>
      </c>
      <c r="S81" s="39">
        <f t="shared" si="95"/>
        <v>3.0954788420311186</v>
      </c>
      <c r="T81" s="39">
        <f t="shared" si="96"/>
        <v>1.0217887520443725</v>
      </c>
      <c r="W81" t="str">
        <f t="shared" si="97"/>
        <v>Professional occupations</v>
      </c>
      <c r="X81" s="11">
        <f t="shared" si="97"/>
        <v>2840.854539065856</v>
      </c>
      <c r="Y81" s="11">
        <f t="shared" si="97"/>
        <v>3281.6288500205555</v>
      </c>
      <c r="Z81" s="11">
        <f t="shared" si="97"/>
        <v>3464.6279198306847</v>
      </c>
      <c r="AA81" s="11">
        <f t="shared" si="97"/>
        <v>3772.2551778938523</v>
      </c>
      <c r="AB81" s="11">
        <f t="shared" si="97"/>
        <v>4244.9483784320573</v>
      </c>
      <c r="AD81" s="39">
        <f t="shared" si="98"/>
        <v>4.049864927020308</v>
      </c>
      <c r="AE81" s="39">
        <f t="shared" si="99"/>
        <v>1.3633730758757734</v>
      </c>
    </row>
    <row r="82" spans="1:31" x14ac:dyDescent="0.3">
      <c r="A82" t="str">
        <f t="shared" si="92"/>
        <v>Associate professional occupations</v>
      </c>
      <c r="B82" s="11">
        <f t="shared" si="92"/>
        <v>3673.0788633877009</v>
      </c>
      <c r="C82" s="11">
        <f t="shared" si="92"/>
        <v>3966.2899027660596</v>
      </c>
      <c r="D82" s="11">
        <f t="shared" si="92"/>
        <v>4152.3256176523755</v>
      </c>
      <c r="E82" s="11">
        <f t="shared" si="92"/>
        <v>4085.2103165469375</v>
      </c>
      <c r="F82" s="11">
        <f t="shared" si="92"/>
        <v>4393.8811791663111</v>
      </c>
      <c r="H82" s="39">
        <f t="shared" si="100"/>
        <v>2.4830943556996887</v>
      </c>
      <c r="I82" s="39">
        <f t="shared" si="93"/>
        <v>0.37767382971936048</v>
      </c>
      <c r="L82" t="str">
        <f t="shared" si="94"/>
        <v>Associate professional occupations</v>
      </c>
      <c r="M82" s="11">
        <f t="shared" si="94"/>
        <v>1992.8277048640798</v>
      </c>
      <c r="N82" s="11">
        <f t="shared" si="94"/>
        <v>2117.7596872654435</v>
      </c>
      <c r="O82" s="11">
        <f t="shared" si="94"/>
        <v>2197.6517859200967</v>
      </c>
      <c r="P82" s="11">
        <f t="shared" si="94"/>
        <v>2079.8775537043139</v>
      </c>
      <c r="Q82" s="11">
        <f t="shared" si="94"/>
        <v>2153.9706356781317</v>
      </c>
      <c r="S82" s="39">
        <f t="shared" si="95"/>
        <v>1.9759654397291104</v>
      </c>
      <c r="T82" s="39">
        <f t="shared" si="96"/>
        <v>-0.13375363067618107</v>
      </c>
      <c r="W82" t="str">
        <f t="shared" si="97"/>
        <v>Associate professional occupations</v>
      </c>
      <c r="X82" s="11">
        <f t="shared" si="97"/>
        <v>1680.2511585236171</v>
      </c>
      <c r="Y82" s="11">
        <f t="shared" si="97"/>
        <v>1848.5302155006125</v>
      </c>
      <c r="Z82" s="11">
        <f t="shared" si="97"/>
        <v>1954.6738317322806</v>
      </c>
      <c r="AA82" s="11">
        <f t="shared" si="97"/>
        <v>2005.3327628426305</v>
      </c>
      <c r="AB82" s="11">
        <f t="shared" si="97"/>
        <v>2239.9105434881808</v>
      </c>
      <c r="AD82" s="39">
        <f t="shared" si="98"/>
        <v>3.071837648611897</v>
      </c>
      <c r="AE82" s="39">
        <f t="shared" si="99"/>
        <v>0.91221950805042695</v>
      </c>
    </row>
    <row r="83" spans="1:31" x14ac:dyDescent="0.3">
      <c r="A83" t="str">
        <f t="shared" si="92"/>
        <v>Administrative and secretarial occupations</v>
      </c>
      <c r="B83" s="11">
        <f t="shared" si="92"/>
        <v>3149.4937606467925</v>
      </c>
      <c r="C83" s="11">
        <f t="shared" si="92"/>
        <v>3060.9066259906567</v>
      </c>
      <c r="D83" s="11">
        <f t="shared" si="92"/>
        <v>3147.0303376748875</v>
      </c>
      <c r="E83" s="11">
        <f t="shared" si="92"/>
        <v>2968.9679970158159</v>
      </c>
      <c r="F83" s="11">
        <f t="shared" si="92"/>
        <v>2720.1220560833954</v>
      </c>
      <c r="H83" s="39">
        <f t="shared" si="100"/>
        <v>-1.5648191373662801E-2</v>
      </c>
      <c r="I83" s="39">
        <f t="shared" si="93"/>
        <v>-0.96717584556493819</v>
      </c>
      <c r="L83" t="str">
        <f t="shared" si="94"/>
        <v>Administrative and secretarial occupations</v>
      </c>
      <c r="M83" s="11">
        <f t="shared" si="94"/>
        <v>773.93002752520397</v>
      </c>
      <c r="N83" s="11">
        <f t="shared" si="94"/>
        <v>731.0830009992651</v>
      </c>
      <c r="O83" s="11">
        <f t="shared" si="94"/>
        <v>856.65149379899708</v>
      </c>
      <c r="P83" s="11">
        <f t="shared" si="94"/>
        <v>828.31911166456541</v>
      </c>
      <c r="Q83" s="11">
        <f t="shared" si="94"/>
        <v>900.61709572787379</v>
      </c>
      <c r="S83" s="39">
        <f t="shared" si="95"/>
        <v>2.0517592636444482</v>
      </c>
      <c r="T83" s="39">
        <f t="shared" si="96"/>
        <v>0.33421734981122775</v>
      </c>
      <c r="W83" t="str">
        <f t="shared" si="97"/>
        <v>Administrative and secretarial occupations</v>
      </c>
      <c r="X83" s="11">
        <f t="shared" si="97"/>
        <v>2375.5637331215826</v>
      </c>
      <c r="Y83" s="11">
        <f t="shared" si="97"/>
        <v>2329.8236249913875</v>
      </c>
      <c r="Z83" s="11">
        <f t="shared" si="97"/>
        <v>2290.3788438758825</v>
      </c>
      <c r="AA83" s="11">
        <f t="shared" si="97"/>
        <v>2140.6488853512487</v>
      </c>
      <c r="AB83" s="11">
        <f t="shared" si="97"/>
        <v>1819.5049603555219</v>
      </c>
      <c r="AD83" s="39">
        <f t="shared" si="98"/>
        <v>-0.72769007562730748</v>
      </c>
      <c r="AE83" s="39">
        <f t="shared" si="99"/>
        <v>-1.5226406199656428</v>
      </c>
    </row>
    <row r="84" spans="1:31" x14ac:dyDescent="0.3">
      <c r="A84" t="str">
        <f t="shared" si="92"/>
        <v>Skilled trades occupations</v>
      </c>
      <c r="B84" s="11">
        <f t="shared" si="92"/>
        <v>2889.6909563037434</v>
      </c>
      <c r="C84" s="11">
        <f t="shared" si="92"/>
        <v>2850.7714544337691</v>
      </c>
      <c r="D84" s="11">
        <f t="shared" si="92"/>
        <v>2510.2782475953591</v>
      </c>
      <c r="E84" s="11">
        <f t="shared" si="92"/>
        <v>2554.2376173672178</v>
      </c>
      <c r="F84" s="11">
        <f t="shared" si="92"/>
        <v>2494.1382265499906</v>
      </c>
      <c r="H84" s="39">
        <f t="shared" si="100"/>
        <v>-2.7758639088215742</v>
      </c>
      <c r="I84" s="39">
        <f t="shared" si="93"/>
        <v>-4.2992977080535955E-2</v>
      </c>
      <c r="L84" t="str">
        <f t="shared" si="94"/>
        <v>Skilled trades occupations</v>
      </c>
      <c r="M84" s="11">
        <f t="shared" si="94"/>
        <v>2579.9320586691183</v>
      </c>
      <c r="N84" s="11">
        <f t="shared" si="94"/>
        <v>2539.4323754248571</v>
      </c>
      <c r="O84" s="11">
        <f t="shared" si="94"/>
        <v>2187.4452258737019</v>
      </c>
      <c r="P84" s="11">
        <f t="shared" si="94"/>
        <v>2191.3415372348245</v>
      </c>
      <c r="Q84" s="11">
        <f t="shared" si="94"/>
        <v>2093.9171266029716</v>
      </c>
      <c r="S84" s="39">
        <f t="shared" si="95"/>
        <v>-3.2467006722091685</v>
      </c>
      <c r="T84" s="39">
        <f t="shared" si="96"/>
        <v>-0.29089450807726625</v>
      </c>
      <c r="W84" t="str">
        <f t="shared" si="97"/>
        <v>Skilled trades occupations</v>
      </c>
      <c r="X84" s="11">
        <f t="shared" si="97"/>
        <v>309.75889763462612</v>
      </c>
      <c r="Y84" s="11">
        <f t="shared" si="97"/>
        <v>311.33907900891671</v>
      </c>
      <c r="Z84" s="11">
        <f t="shared" si="97"/>
        <v>322.83302172166185</v>
      </c>
      <c r="AA84" s="11">
        <f t="shared" si="97"/>
        <v>362.89608013239194</v>
      </c>
      <c r="AB84" s="11">
        <f t="shared" si="97"/>
        <v>400.22109994701958</v>
      </c>
      <c r="AD84" s="39">
        <f t="shared" si="98"/>
        <v>0.83024726659686188</v>
      </c>
      <c r="AE84" s="39">
        <f t="shared" si="99"/>
        <v>1.4428562174111814</v>
      </c>
    </row>
    <row r="85" spans="1:31" x14ac:dyDescent="0.3">
      <c r="A85" t="str">
        <f t="shared" si="92"/>
        <v>Caring, leisure and other service occupations</v>
      </c>
      <c r="B85" s="11">
        <f t="shared" si="92"/>
        <v>2686.476945366268</v>
      </c>
      <c r="C85" s="11">
        <f t="shared" si="92"/>
        <v>2794.9761350106005</v>
      </c>
      <c r="D85" s="11">
        <f t="shared" si="92"/>
        <v>2683.1938804533893</v>
      </c>
      <c r="E85" s="11">
        <f t="shared" si="92"/>
        <v>2869.9409146651319</v>
      </c>
      <c r="F85" s="11">
        <f t="shared" si="92"/>
        <v>3104.1211527286227</v>
      </c>
      <c r="H85" s="39">
        <f t="shared" si="100"/>
        <v>-2.4453371553012637E-2</v>
      </c>
      <c r="I85" s="39">
        <f t="shared" si="93"/>
        <v>0.9762195794202011</v>
      </c>
      <c r="L85" t="str">
        <f t="shared" si="94"/>
        <v>Caring, leisure and other service occupations</v>
      </c>
      <c r="M85" s="11">
        <f t="shared" si="94"/>
        <v>518.23171046895413</v>
      </c>
      <c r="N85" s="11">
        <f t="shared" si="94"/>
        <v>547.08686820136268</v>
      </c>
      <c r="O85" s="11">
        <f t="shared" si="94"/>
        <v>534.82078114805563</v>
      </c>
      <c r="P85" s="11">
        <f t="shared" si="94"/>
        <v>606.28171955500318</v>
      </c>
      <c r="Q85" s="11">
        <f t="shared" si="94"/>
        <v>692.52403663346161</v>
      </c>
      <c r="S85" s="39">
        <f t="shared" si="95"/>
        <v>0.63217469274803317</v>
      </c>
      <c r="T85" s="39">
        <f t="shared" si="96"/>
        <v>1.7376664098356809</v>
      </c>
      <c r="W85" t="str">
        <f t="shared" si="97"/>
        <v>Caring, leisure and other service occupations</v>
      </c>
      <c r="X85" s="11">
        <f t="shared" si="97"/>
        <v>2168.2452348973106</v>
      </c>
      <c r="Y85" s="11">
        <f t="shared" si="97"/>
        <v>2247.8892668092344</v>
      </c>
      <c r="Z85" s="11">
        <f t="shared" si="97"/>
        <v>2148.373099305335</v>
      </c>
      <c r="AA85" s="11">
        <f t="shared" si="97"/>
        <v>2263.6591951101323</v>
      </c>
      <c r="AB85" s="11">
        <f t="shared" si="97"/>
        <v>2411.5971160951635</v>
      </c>
      <c r="AD85" s="39">
        <f t="shared" si="98"/>
        <v>-0.18397725810701537</v>
      </c>
      <c r="AE85" s="39">
        <f t="shared" si="99"/>
        <v>0.77349865755200753</v>
      </c>
    </row>
    <row r="86" spans="1:31" x14ac:dyDescent="0.3">
      <c r="A86" t="str">
        <f t="shared" si="92"/>
        <v>Sales and customer service occupations</v>
      </c>
      <c r="B86" s="11">
        <f t="shared" si="92"/>
        <v>2451.7146582710288</v>
      </c>
      <c r="C86" s="11">
        <f t="shared" si="92"/>
        <v>2391.0620840559268</v>
      </c>
      <c r="D86" s="11">
        <f t="shared" si="92"/>
        <v>2362.3332816348438</v>
      </c>
      <c r="E86" s="11">
        <f t="shared" si="92"/>
        <v>2379.1398631656634</v>
      </c>
      <c r="F86" s="11">
        <f t="shared" si="92"/>
        <v>2388.7952867984582</v>
      </c>
      <c r="H86" s="39">
        <f t="shared" si="100"/>
        <v>-0.74000500007874725</v>
      </c>
      <c r="I86" s="39">
        <f t="shared" si="93"/>
        <v>7.4290017933420494E-2</v>
      </c>
      <c r="L86" t="str">
        <f t="shared" si="94"/>
        <v>Sales and customer service occupations</v>
      </c>
      <c r="M86" s="11">
        <f t="shared" si="94"/>
        <v>975.18046757689456</v>
      </c>
      <c r="N86" s="11">
        <f t="shared" si="94"/>
        <v>959.59239540252474</v>
      </c>
      <c r="O86" s="11">
        <f t="shared" si="94"/>
        <v>969.66952378140809</v>
      </c>
      <c r="P86" s="11">
        <f t="shared" si="94"/>
        <v>1002.2140935395429</v>
      </c>
      <c r="Q86" s="11">
        <f t="shared" si="94"/>
        <v>1037.6507898684765</v>
      </c>
      <c r="S86" s="39">
        <f t="shared" si="95"/>
        <v>-0.11328043933647169</v>
      </c>
      <c r="T86" s="39">
        <f t="shared" si="96"/>
        <v>0.4527502633503877</v>
      </c>
      <c r="W86" t="str">
        <f t="shared" si="97"/>
        <v>Sales and customer service occupations</v>
      </c>
      <c r="X86" s="11">
        <f t="shared" si="97"/>
        <v>1476.5341906941371</v>
      </c>
      <c r="Y86" s="11">
        <f t="shared" si="97"/>
        <v>1431.4696886534025</v>
      </c>
      <c r="Z86" s="11">
        <f t="shared" si="97"/>
        <v>1392.6637578534344</v>
      </c>
      <c r="AA86" s="11">
        <f t="shared" si="97"/>
        <v>1376.9257696261259</v>
      </c>
      <c r="AB86" s="11">
        <f t="shared" si="97"/>
        <v>1351.1444969299823</v>
      </c>
      <c r="AD86" s="39">
        <f t="shared" si="98"/>
        <v>-1.1627727864056414</v>
      </c>
      <c r="AE86" s="39">
        <f t="shared" si="99"/>
        <v>-0.20157175075902201</v>
      </c>
    </row>
    <row r="87" spans="1:31" x14ac:dyDescent="0.3">
      <c r="A87" t="str">
        <f t="shared" si="92"/>
        <v>Process, plant and machine operatives</v>
      </c>
      <c r="B87" s="11">
        <f t="shared" si="92"/>
        <v>1767.3257043641233</v>
      </c>
      <c r="C87" s="11">
        <f t="shared" si="92"/>
        <v>1870.5480838882245</v>
      </c>
      <c r="D87" s="11">
        <f t="shared" si="92"/>
        <v>1662.1375442945014</v>
      </c>
      <c r="E87" s="11">
        <f t="shared" si="92"/>
        <v>1867.9319690347922</v>
      </c>
      <c r="F87" s="11">
        <f t="shared" si="92"/>
        <v>1852.0872704524211</v>
      </c>
      <c r="H87" s="39">
        <f t="shared" si="100"/>
        <v>-1.2197608898178558</v>
      </c>
      <c r="I87" s="39">
        <f t="shared" si="93"/>
        <v>0.72400034116195666</v>
      </c>
      <c r="L87" t="str">
        <f t="shared" si="94"/>
        <v>Process, plant and machine operatives</v>
      </c>
      <c r="M87" s="11">
        <f t="shared" si="94"/>
        <v>1545.6588392032829</v>
      </c>
      <c r="N87" s="11">
        <f t="shared" si="94"/>
        <v>1641.378003381878</v>
      </c>
      <c r="O87" s="11">
        <f t="shared" si="94"/>
        <v>1459.4792278322434</v>
      </c>
      <c r="P87" s="11">
        <f t="shared" si="94"/>
        <v>1599.9067615982372</v>
      </c>
      <c r="Q87" s="11">
        <f t="shared" si="94"/>
        <v>1568.3089691822011</v>
      </c>
      <c r="S87" s="39">
        <f t="shared" si="95"/>
        <v>-1.1408538150049385</v>
      </c>
      <c r="T87" s="39">
        <f t="shared" si="96"/>
        <v>0.4806063610363287</v>
      </c>
      <c r="W87" t="str">
        <f t="shared" si="97"/>
        <v>Process, plant and machine operatives</v>
      </c>
      <c r="X87" s="11">
        <f t="shared" si="97"/>
        <v>221.66686516083925</v>
      </c>
      <c r="Y87" s="11">
        <f t="shared" si="97"/>
        <v>229.17008050634479</v>
      </c>
      <c r="Z87" s="11">
        <f t="shared" si="97"/>
        <v>202.65831646225831</v>
      </c>
      <c r="AA87" s="11">
        <f t="shared" si="97"/>
        <v>268.02520743655623</v>
      </c>
      <c r="AB87" s="11">
        <f t="shared" si="97"/>
        <v>283.77830127022298</v>
      </c>
      <c r="AD87" s="39">
        <f t="shared" si="98"/>
        <v>-1.7771050167754709</v>
      </c>
      <c r="AE87" s="39">
        <f t="shared" si="99"/>
        <v>2.2698573726601889</v>
      </c>
    </row>
    <row r="88" spans="1:31" x14ac:dyDescent="0.3">
      <c r="A88" t="str">
        <f t="shared" si="92"/>
        <v>Elementary occupations</v>
      </c>
      <c r="B88" s="11">
        <f t="shared" si="92"/>
        <v>3302.1923629942416</v>
      </c>
      <c r="C88" s="11">
        <f t="shared" si="92"/>
        <v>3290.2423965940557</v>
      </c>
      <c r="D88" s="11">
        <f t="shared" si="92"/>
        <v>3001.5109789107441</v>
      </c>
      <c r="E88" s="11">
        <f t="shared" si="92"/>
        <v>3009.8110450580339</v>
      </c>
      <c r="F88" s="11">
        <f t="shared" si="92"/>
        <v>2907.1002530060523</v>
      </c>
      <c r="H88" s="39">
        <f t="shared" si="100"/>
        <v>-1.8913017096546914</v>
      </c>
      <c r="I88" s="39">
        <f t="shared" si="93"/>
        <v>-0.21283793663661177</v>
      </c>
      <c r="L88" t="str">
        <f t="shared" si="94"/>
        <v>Elementary occupations</v>
      </c>
      <c r="M88" s="11">
        <f t="shared" si="94"/>
        <v>1765.3497212648965</v>
      </c>
      <c r="N88" s="11">
        <f t="shared" si="94"/>
        <v>1699.7166831161926</v>
      </c>
      <c r="O88" s="11">
        <f t="shared" si="94"/>
        <v>1596.2019435508616</v>
      </c>
      <c r="P88" s="11">
        <f t="shared" si="94"/>
        <v>1634.8409652286821</v>
      </c>
      <c r="Q88" s="11">
        <f t="shared" si="94"/>
        <v>1567.6502592068991</v>
      </c>
      <c r="S88" s="39">
        <f t="shared" si="95"/>
        <v>-1.9942816205791525</v>
      </c>
      <c r="T88" s="39">
        <f t="shared" si="96"/>
        <v>-0.12025546174024848</v>
      </c>
      <c r="W88" t="str">
        <f t="shared" si="97"/>
        <v>Elementary occupations</v>
      </c>
      <c r="X88" s="11">
        <f t="shared" si="97"/>
        <v>1536.8426417293433</v>
      </c>
      <c r="Y88" s="11">
        <f t="shared" si="97"/>
        <v>1590.5257134778606</v>
      </c>
      <c r="Z88" s="11">
        <f t="shared" si="97"/>
        <v>1405.3090353598864</v>
      </c>
      <c r="AA88" s="11">
        <f t="shared" si="97"/>
        <v>1374.9700798293613</v>
      </c>
      <c r="AB88" s="11">
        <f t="shared" si="97"/>
        <v>1339.4499937991502</v>
      </c>
      <c r="AD88" s="39">
        <f t="shared" si="98"/>
        <v>-1.773541227458153</v>
      </c>
      <c r="AE88" s="39">
        <f t="shared" si="99"/>
        <v>-0.31947628683175466</v>
      </c>
    </row>
    <row r="89" spans="1:31" x14ac:dyDescent="0.3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3">
      <c r="A90" s="23" t="str">
        <f t="shared" ref="A90:F90" si="101">A18</f>
        <v>All occupations</v>
      </c>
      <c r="B90" s="33">
        <f t="shared" si="101"/>
        <v>28656.171999997779</v>
      </c>
      <c r="C90" s="33">
        <f t="shared" si="101"/>
        <v>30212.759999993872</v>
      </c>
      <c r="D90" s="33">
        <f t="shared" si="101"/>
        <v>29859.680999995038</v>
      </c>
      <c r="E90" s="33">
        <f t="shared" si="101"/>
        <v>30754.748000010026</v>
      </c>
      <c r="F90" s="33">
        <f t="shared" si="101"/>
        <v>32070.090999998909</v>
      </c>
      <c r="H90" s="42">
        <f>IF(D$6-B$6 &lt;&gt; 0,(EXP(LN(D18/B18)/(D$6-B$6))-1)*100,0)</f>
        <v>0.82619957207423766</v>
      </c>
      <c r="I90" s="42">
        <f>F56</f>
        <v>0.477233431154378</v>
      </c>
      <c r="L90" s="23" t="str">
        <f t="shared" ref="L90:Q90" si="102">L18</f>
        <v>All occupations</v>
      </c>
      <c r="M90" s="33">
        <f t="shared" si="102"/>
        <v>15097.294000001102</v>
      </c>
      <c r="N90" s="33">
        <f t="shared" si="102"/>
        <v>15791.443999999361</v>
      </c>
      <c r="O90" s="33">
        <f t="shared" si="102"/>
        <v>15479.516000000143</v>
      </c>
      <c r="P90" s="33">
        <f t="shared" si="102"/>
        <v>15910.18800000161</v>
      </c>
      <c r="Q90" s="33">
        <f t="shared" si="102"/>
        <v>16483.507000000143</v>
      </c>
      <c r="S90" s="42">
        <f>IF(O$6-M$6 &lt;&gt; 0,(EXP(LN(O18/M18)/(O$6-M$6))-1)*100,0)</f>
        <v>0.50129387555879479</v>
      </c>
      <c r="T90" s="42">
        <f>Q56</f>
        <v>0.41983018617468559</v>
      </c>
      <c r="W90" s="23" t="str">
        <f t="shared" ref="W90:AB90" si="103">W18</f>
        <v>All occupations</v>
      </c>
      <c r="X90" s="33">
        <f t="shared" si="103"/>
        <v>13558.877999996663</v>
      </c>
      <c r="Y90" s="33">
        <f t="shared" si="103"/>
        <v>14421.315999994513</v>
      </c>
      <c r="Z90" s="33">
        <f t="shared" si="103"/>
        <v>14380.16499999489</v>
      </c>
      <c r="AA90" s="33">
        <f t="shared" si="103"/>
        <v>14844.560000008438</v>
      </c>
      <c r="AB90" s="33">
        <f t="shared" si="103"/>
        <v>15586.583999998769</v>
      </c>
      <c r="AD90" s="42">
        <f>IF(Z$6-X$6 &lt;&gt; 0,(EXP(LN(Z18/X18)/(Z$6-X$6))-1)*100,0)</f>
        <v>1.1831098432651066</v>
      </c>
      <c r="AE90" s="42">
        <f>AB56</f>
        <v>0.5385162657690179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>
      <selection activeCell="H46" sqref="H46"/>
    </sheetView>
  </sheetViews>
  <sheetFormatPr defaultColWidth="9.15234375" defaultRowHeight="12.45" x14ac:dyDescent="0.3"/>
  <cols>
    <col min="1" max="1" width="55.69140625" customWidth="1"/>
    <col min="2" max="6" width="10" customWidth="1"/>
    <col min="7" max="7" width="6.69140625" customWidth="1"/>
    <col min="8" max="10" width="13" customWidth="1"/>
    <col min="11" max="11" width="9.84375" customWidth="1"/>
    <col min="12" max="12" width="55.69140625" customWidth="1"/>
    <col min="13" max="17" width="10" customWidth="1"/>
    <col min="18" max="18" width="6.69140625" customWidth="1"/>
    <col min="19" max="21" width="13" customWidth="1"/>
    <col min="23" max="23" width="55.69140625" customWidth="1"/>
    <col min="24" max="28" width="10" customWidth="1"/>
    <col min="29" max="29" width="6.69140625" customWidth="1"/>
    <col min="30" max="32" width="13" customWidth="1"/>
  </cols>
  <sheetData>
    <row r="1" spans="1:32" ht="15.45" x14ac:dyDescent="0.4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England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England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England</v>
      </c>
    </row>
    <row r="2" spans="1:32" ht="12.75" customHeight="1" x14ac:dyDescent="0.35">
      <c r="A2" s="181" t="s">
        <v>535</v>
      </c>
      <c r="D2" s="339"/>
      <c r="G2" s="85"/>
      <c r="J2" s="85"/>
      <c r="M2" s="85"/>
      <c r="P2" s="85"/>
      <c r="S2" s="85"/>
      <c r="V2" s="85"/>
    </row>
    <row r="3" spans="1:32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3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3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3">
      <c r="A8" s="10" t="str">
        <f>name!D4</f>
        <v>11 Corporate managers and directors</v>
      </c>
      <c r="B8" s="11">
        <v>1899.433639026867</v>
      </c>
      <c r="C8" s="11">
        <v>2252.4434759690844</v>
      </c>
      <c r="D8" s="11">
        <v>2300.8631856488205</v>
      </c>
      <c r="E8" s="11">
        <v>2163.7370255462979</v>
      </c>
      <c r="F8" s="11">
        <v>2367.6940169092045</v>
      </c>
      <c r="G8" s="10"/>
      <c r="H8" s="11">
        <f>F8-D8</f>
        <v>66.830831260384002</v>
      </c>
      <c r="I8" s="11">
        <f>'RD T1'!E7</f>
        <v>1149.8091291621172</v>
      </c>
      <c r="J8" s="11">
        <f>SUM(H8:I8)</f>
        <v>1216.6399604225012</v>
      </c>
      <c r="L8" s="10" t="str">
        <f>name!D4</f>
        <v>11 Corporate managers and directors</v>
      </c>
      <c r="M8" s="11">
        <v>1313.7150399618365</v>
      </c>
      <c r="N8" s="11">
        <v>1498.0900506444129</v>
      </c>
      <c r="O8" s="11">
        <v>1518.2413496773415</v>
      </c>
      <c r="P8" s="11">
        <v>1380.8422784056459</v>
      </c>
      <c r="Q8" s="11">
        <v>1451.2669141277029</v>
      </c>
      <c r="R8" s="10"/>
      <c r="S8" s="11">
        <f>Q8-O8</f>
        <v>-66.974435549638656</v>
      </c>
      <c r="T8" s="11">
        <f>'RD T1'!T7</f>
        <v>663.54421342885746</v>
      </c>
      <c r="U8" s="11">
        <f>SUM(S8:T8)</f>
        <v>596.5697778792188</v>
      </c>
      <c r="W8" s="10" t="str">
        <f>name!D4</f>
        <v>11 Corporate managers and directors</v>
      </c>
      <c r="X8" s="11">
        <v>585.71859906502959</v>
      </c>
      <c r="Y8" s="11">
        <v>754.3534253246728</v>
      </c>
      <c r="Z8" s="11">
        <v>782.6218359714743</v>
      </c>
      <c r="AA8" s="11">
        <v>782.89474714065227</v>
      </c>
      <c r="AB8" s="11">
        <v>916.42710278150287</v>
      </c>
      <c r="AC8" s="10"/>
      <c r="AD8" s="11">
        <f>AB8-Z8</f>
        <v>133.80526681002857</v>
      </c>
      <c r="AE8" s="11">
        <f>'RD T1'!T36</f>
        <v>486.26491573325967</v>
      </c>
      <c r="AF8" s="11">
        <f>SUM(AD8:AE8)</f>
        <v>620.07018254328818</v>
      </c>
    </row>
    <row r="9" spans="1:32" x14ac:dyDescent="0.3">
      <c r="A9" s="10" t="str">
        <f>name!D5</f>
        <v>12 Other managers and proprietors</v>
      </c>
      <c r="B9" s="11">
        <v>923.52132759385643</v>
      </c>
      <c r="C9" s="11">
        <v>989.3442272202127</v>
      </c>
      <c r="D9" s="11">
        <v>997.09987935375352</v>
      </c>
      <c r="E9" s="11">
        <v>1237.9309873568443</v>
      </c>
      <c r="F9" s="11">
        <v>1429.4676888704503</v>
      </c>
      <c r="H9" s="11">
        <f t="shared" ref="H9:H32" si="2">F9-D9</f>
        <v>432.36780951669675</v>
      </c>
      <c r="I9" s="11">
        <f>'RD T1'!E8</f>
        <v>721.32469482830038</v>
      </c>
      <c r="J9" s="11">
        <f>SUM(H9:I9)</f>
        <v>1153.6925043449971</v>
      </c>
      <c r="L9" s="10" t="str">
        <f>name!D5</f>
        <v>12 Other managers and proprietors</v>
      </c>
      <c r="M9" s="11">
        <v>560.07918748953875</v>
      </c>
      <c r="N9" s="11">
        <v>592.75817151868557</v>
      </c>
      <c r="O9" s="11">
        <v>581.07454147176304</v>
      </c>
      <c r="P9" s="11">
        <v>740.97889271135796</v>
      </c>
      <c r="Q9" s="11">
        <v>849.86568197048359</v>
      </c>
      <c r="S9" s="11">
        <f t="shared" ref="S9:S32" si="3">Q9-O9</f>
        <v>268.79114049872055</v>
      </c>
      <c r="T9" s="11">
        <f>'RD T1'!T8</f>
        <v>387.3949605611063</v>
      </c>
      <c r="U9" s="11">
        <f>SUM(S9:T9)</f>
        <v>656.1861010598268</v>
      </c>
      <c r="W9" s="10" t="str">
        <f>name!D5</f>
        <v>12 Other managers and proprietors</v>
      </c>
      <c r="X9" s="11">
        <v>363.44214010432034</v>
      </c>
      <c r="Y9" s="11">
        <v>396.58605570152719</v>
      </c>
      <c r="Z9" s="11">
        <v>416.02533788199293</v>
      </c>
      <c r="AA9" s="11">
        <v>496.95209464548464</v>
      </c>
      <c r="AB9" s="11">
        <v>579.60200689996805</v>
      </c>
      <c r="AD9" s="11">
        <f t="shared" ref="AD9:AD32" si="4">AB9-Z9</f>
        <v>163.57666901797512</v>
      </c>
      <c r="AE9" s="11">
        <f>'RD T1'!T37</f>
        <v>333.92973426719408</v>
      </c>
      <c r="AF9" s="11">
        <f>SUM(AD9:AE9)</f>
        <v>497.5064032851692</v>
      </c>
    </row>
    <row r="10" spans="1:32" x14ac:dyDescent="0.3">
      <c r="A10" s="10" t="str">
        <f>name!D6</f>
        <v>21 Science, research, engineering and technology professionals</v>
      </c>
      <c r="B10" s="11">
        <v>1585.0798970775465</v>
      </c>
      <c r="C10" s="11">
        <v>1824.270392837615</v>
      </c>
      <c r="D10" s="11">
        <v>1898.9978151049093</v>
      </c>
      <c r="E10" s="11">
        <v>2020.6337313843233</v>
      </c>
      <c r="F10" s="11">
        <v>2241.4331785640356</v>
      </c>
      <c r="G10" s="11"/>
      <c r="H10" s="11">
        <f t="shared" si="2"/>
        <v>342.43536345912639</v>
      </c>
      <c r="I10" s="11">
        <f>'RD T1'!E9</f>
        <v>782.49558601007584</v>
      </c>
      <c r="J10" s="11">
        <f t="shared" ref="J10:J32" si="5">SUM(H10:I10)</f>
        <v>1124.9309494692022</v>
      </c>
      <c r="L10" s="10" t="str">
        <f>name!D6</f>
        <v>21 Science, research, engineering and technology professionals</v>
      </c>
      <c r="M10" s="11">
        <v>1259.7640860814031</v>
      </c>
      <c r="N10" s="11">
        <v>1463.5542858755171</v>
      </c>
      <c r="O10" s="11">
        <v>1457.6517402402742</v>
      </c>
      <c r="P10" s="11">
        <v>1498.5831739851676</v>
      </c>
      <c r="Q10" s="11">
        <v>1619.0496933815643</v>
      </c>
      <c r="R10" s="11"/>
      <c r="S10" s="11">
        <f t="shared" si="3"/>
        <v>161.39795314129015</v>
      </c>
      <c r="T10" s="11">
        <f>'RD T1'!T9</f>
        <v>503.27001623591866</v>
      </c>
      <c r="U10" s="11">
        <f t="shared" ref="U10:U32" si="6">SUM(S10:T10)</f>
        <v>664.66796937720881</v>
      </c>
      <c r="W10" s="10" t="str">
        <f>name!D6</f>
        <v>21 Science, research, engineering and technology professionals</v>
      </c>
      <c r="X10" s="11">
        <v>325.31581099614459</v>
      </c>
      <c r="Y10" s="11">
        <v>360.71610696210257</v>
      </c>
      <c r="Z10" s="11">
        <v>441.34607486463847</v>
      </c>
      <c r="AA10" s="11">
        <v>522.05055739915599</v>
      </c>
      <c r="AB10" s="11">
        <v>622.3834851824696</v>
      </c>
      <c r="AC10" s="11"/>
      <c r="AD10" s="11">
        <f t="shared" si="4"/>
        <v>181.03741031783113</v>
      </c>
      <c r="AE10" s="11">
        <f>'RD T1'!T38</f>
        <v>279.22556977415729</v>
      </c>
      <c r="AF10" s="11">
        <f t="shared" ref="AF10:AF32" si="7">SUM(AD10:AE10)</f>
        <v>460.26298009198842</v>
      </c>
    </row>
    <row r="11" spans="1:32" x14ac:dyDescent="0.3">
      <c r="A11" s="10" t="str">
        <f>name!D7</f>
        <v>22 Health professionals</v>
      </c>
      <c r="B11" s="11">
        <v>1169.4428202608062</v>
      </c>
      <c r="C11" s="11">
        <v>1354.656644154659</v>
      </c>
      <c r="D11" s="11">
        <v>1353.7379872555568</v>
      </c>
      <c r="E11" s="11">
        <v>1459.9671953626994</v>
      </c>
      <c r="F11" s="11">
        <v>1588.4343307583806</v>
      </c>
      <c r="G11" s="11"/>
      <c r="H11" s="11">
        <f t="shared" si="2"/>
        <v>234.69634350282377</v>
      </c>
      <c r="I11" s="11">
        <f>'RD T1'!E10</f>
        <v>790.7016601658745</v>
      </c>
      <c r="J11" s="11">
        <f t="shared" si="5"/>
        <v>1025.3980036686983</v>
      </c>
      <c r="L11" s="10" t="str">
        <f>name!D7</f>
        <v>22 Health professionals</v>
      </c>
      <c r="M11" s="11">
        <v>290.43686339058593</v>
      </c>
      <c r="N11" s="11">
        <v>333.59696517179577</v>
      </c>
      <c r="O11" s="11">
        <v>362.46900566429906</v>
      </c>
      <c r="P11" s="11">
        <v>387.30762249220737</v>
      </c>
      <c r="Q11" s="11">
        <v>420.52992829177492</v>
      </c>
      <c r="R11" s="11"/>
      <c r="S11" s="11">
        <f t="shared" si="3"/>
        <v>58.060922627475861</v>
      </c>
      <c r="T11" s="11">
        <f>'RD T1'!T10</f>
        <v>150.4671518671791</v>
      </c>
      <c r="U11" s="11">
        <f t="shared" si="6"/>
        <v>208.52807449465496</v>
      </c>
      <c r="W11" s="10" t="str">
        <f>name!D7</f>
        <v>22 Health professionals</v>
      </c>
      <c r="X11" s="11">
        <v>879.00595687022053</v>
      </c>
      <c r="Y11" s="11">
        <v>1021.0596789828634</v>
      </c>
      <c r="Z11" s="11">
        <v>991.26898159125392</v>
      </c>
      <c r="AA11" s="11">
        <v>1072.6595728704899</v>
      </c>
      <c r="AB11" s="11">
        <v>1167.9044024666046</v>
      </c>
      <c r="AC11" s="11"/>
      <c r="AD11" s="11">
        <f t="shared" si="4"/>
        <v>176.63542087535063</v>
      </c>
      <c r="AE11" s="11">
        <f>'RD T1'!T39</f>
        <v>640.23450829869523</v>
      </c>
      <c r="AF11" s="11">
        <f t="shared" si="7"/>
        <v>816.86992917404586</v>
      </c>
    </row>
    <row r="12" spans="1:32" x14ac:dyDescent="0.3">
      <c r="A12" s="10" t="str">
        <f>name!D8</f>
        <v>23 Teaching and other educational professionals</v>
      </c>
      <c r="B12" s="11">
        <v>1361.749185159139</v>
      </c>
      <c r="C12" s="11">
        <v>1441.2390325186961</v>
      </c>
      <c r="D12" s="11">
        <v>1500.5047473431287</v>
      </c>
      <c r="E12" s="11">
        <v>1561.7727543970723</v>
      </c>
      <c r="F12" s="11">
        <v>1699.3396854728551</v>
      </c>
      <c r="G12" s="11"/>
      <c r="H12" s="11">
        <f t="shared" si="2"/>
        <v>198.83493812972642</v>
      </c>
      <c r="I12" s="11">
        <f>'RD T1'!E11</f>
        <v>814.34952148297498</v>
      </c>
      <c r="J12" s="11">
        <f t="shared" si="5"/>
        <v>1013.1844596127014</v>
      </c>
      <c r="L12" s="10" t="str">
        <f>name!D8</f>
        <v>23 Teaching and other educational professionals</v>
      </c>
      <c r="M12" s="11">
        <v>465.10978424210231</v>
      </c>
      <c r="N12" s="11">
        <v>463.25280499878852</v>
      </c>
      <c r="O12" s="11">
        <v>488.66186759089578</v>
      </c>
      <c r="P12" s="11">
        <v>526.05222981094414</v>
      </c>
      <c r="Q12" s="11">
        <v>564.79643396783615</v>
      </c>
      <c r="R12" s="11"/>
      <c r="S12" s="11">
        <f t="shared" si="3"/>
        <v>76.13456637694037</v>
      </c>
      <c r="T12" s="11">
        <f>'RD T1'!T11</f>
        <v>227.93090651976388</v>
      </c>
      <c r="U12" s="11">
        <f t="shared" si="6"/>
        <v>304.06547289670425</v>
      </c>
      <c r="W12" s="10" t="str">
        <f>name!D8</f>
        <v>23 Teaching and other educational professionals</v>
      </c>
      <c r="X12" s="11">
        <v>896.6394009170308</v>
      </c>
      <c r="Y12" s="11">
        <v>977.98622751991206</v>
      </c>
      <c r="Z12" s="11">
        <v>1011.8428797522325</v>
      </c>
      <c r="AA12" s="11">
        <v>1035.7205245861308</v>
      </c>
      <c r="AB12" s="11">
        <v>1134.543251505017</v>
      </c>
      <c r="AC12" s="11"/>
      <c r="AD12" s="11">
        <f t="shared" si="4"/>
        <v>122.70037175278446</v>
      </c>
      <c r="AE12" s="11">
        <f>'RD T1'!T40</f>
        <v>586.41861496321098</v>
      </c>
      <c r="AF12" s="11">
        <f t="shared" si="7"/>
        <v>709.11898671599545</v>
      </c>
    </row>
    <row r="13" spans="1:32" x14ac:dyDescent="0.3">
      <c r="A13" s="10" t="str">
        <f>name!D9</f>
        <v>24 Business, media and public service professionals</v>
      </c>
      <c r="B13" s="11">
        <v>1796.9718795456633</v>
      </c>
      <c r="C13" s="11">
        <v>2126.0095445543111</v>
      </c>
      <c r="D13" s="11">
        <v>2289.6674970727631</v>
      </c>
      <c r="E13" s="11">
        <v>2575.4665831091975</v>
      </c>
      <c r="F13" s="11">
        <v>2883.476674638734</v>
      </c>
      <c r="G13" s="11"/>
      <c r="H13" s="11">
        <f t="shared" si="2"/>
        <v>593.80917756597091</v>
      </c>
      <c r="I13" s="11">
        <f>'RD T1'!E12</f>
        <v>1266.0958078928777</v>
      </c>
      <c r="J13" s="11">
        <f t="shared" si="5"/>
        <v>1859.9049854588486</v>
      </c>
      <c r="L13" s="10" t="str">
        <f>name!D9</f>
        <v>24 Business, media and public service professionals</v>
      </c>
      <c r="M13" s="11">
        <v>1057.078509263207</v>
      </c>
      <c r="N13" s="11">
        <v>1204.1427079986345</v>
      </c>
      <c r="O13" s="11">
        <v>1269.4975134502063</v>
      </c>
      <c r="P13" s="11">
        <v>1433.6420600711158</v>
      </c>
      <c r="Q13" s="11">
        <v>1563.3594353607639</v>
      </c>
      <c r="R13" s="11"/>
      <c r="S13" s="11">
        <f t="shared" si="3"/>
        <v>293.86192191055761</v>
      </c>
      <c r="T13" s="11">
        <f>'RD T1'!T12</f>
        <v>616.20033337880659</v>
      </c>
      <c r="U13" s="11">
        <f t="shared" si="6"/>
        <v>910.0622552893642</v>
      </c>
      <c r="W13" s="10" t="str">
        <f>name!D9</f>
        <v>24 Business, media and public service professionals</v>
      </c>
      <c r="X13" s="11">
        <v>739.89337028246007</v>
      </c>
      <c r="Y13" s="11">
        <v>921.86683655567776</v>
      </c>
      <c r="Z13" s="11">
        <v>1020.1699836225596</v>
      </c>
      <c r="AA13" s="11">
        <v>1141.8245230380751</v>
      </c>
      <c r="AB13" s="11">
        <v>1320.1172392779663</v>
      </c>
      <c r="AC13" s="11"/>
      <c r="AD13" s="11">
        <f t="shared" si="4"/>
        <v>299.94725565540671</v>
      </c>
      <c r="AE13" s="11">
        <f>'RD T1'!T41</f>
        <v>649.89547451407111</v>
      </c>
      <c r="AF13" s="11">
        <f t="shared" si="7"/>
        <v>949.84273016947782</v>
      </c>
    </row>
    <row r="14" spans="1:32" x14ac:dyDescent="0.3">
      <c r="A14" s="10" t="str">
        <f>name!D10</f>
        <v>31 Science, engineering and technology associate professionals</v>
      </c>
      <c r="B14" s="11">
        <v>463.28274271165401</v>
      </c>
      <c r="C14" s="11">
        <v>545.82660644977284</v>
      </c>
      <c r="D14" s="11">
        <v>591.71409062760927</v>
      </c>
      <c r="E14" s="11">
        <v>524.31655610528492</v>
      </c>
      <c r="F14" s="11">
        <v>561.40487958926167</v>
      </c>
      <c r="G14" s="11"/>
      <c r="H14" s="11">
        <f t="shared" si="2"/>
        <v>-30.309211038347598</v>
      </c>
      <c r="I14" s="11">
        <f>'RD T1'!E13</f>
        <v>223.09874479454081</v>
      </c>
      <c r="J14" s="11">
        <f t="shared" si="5"/>
        <v>192.78953375619321</v>
      </c>
      <c r="L14" s="10" t="str">
        <f>name!D10</f>
        <v>31 Science, engineering and technology associate professionals</v>
      </c>
      <c r="M14" s="11">
        <v>335.31622358632461</v>
      </c>
      <c r="N14" s="11">
        <v>409.51259478084006</v>
      </c>
      <c r="O14" s="11">
        <v>425.45347934567582</v>
      </c>
      <c r="P14" s="11">
        <v>351.24294144724433</v>
      </c>
      <c r="Q14" s="11">
        <v>357.29156698295992</v>
      </c>
      <c r="R14" s="11"/>
      <c r="S14" s="11">
        <f t="shared" si="3"/>
        <v>-68.161912362715896</v>
      </c>
      <c r="T14" s="11">
        <f>'RD T1'!T13</f>
        <v>131.12152415538122</v>
      </c>
      <c r="U14" s="11">
        <f t="shared" si="6"/>
        <v>62.959611792665328</v>
      </c>
      <c r="W14" s="10" t="str">
        <f>name!D10</f>
        <v>31 Science, engineering and technology associate professionals</v>
      </c>
      <c r="X14" s="11">
        <v>127.96651912533001</v>
      </c>
      <c r="Y14" s="11">
        <v>136.31401166893244</v>
      </c>
      <c r="Z14" s="11">
        <v>166.26061128193439</v>
      </c>
      <c r="AA14" s="11">
        <v>173.07361465803993</v>
      </c>
      <c r="AB14" s="11">
        <v>204.11331260630206</v>
      </c>
      <c r="AC14" s="11"/>
      <c r="AD14" s="11">
        <f t="shared" si="4"/>
        <v>37.852701324367672</v>
      </c>
      <c r="AE14" s="11">
        <f>'RD T1'!T42</f>
        <v>91.977220639159583</v>
      </c>
      <c r="AF14" s="11">
        <f t="shared" si="7"/>
        <v>129.82992196352726</v>
      </c>
    </row>
    <row r="15" spans="1:32" x14ac:dyDescent="0.3">
      <c r="A15" s="10" t="str">
        <f>name!D11</f>
        <v>32 Health and social care associate professionals</v>
      </c>
      <c r="B15" s="11">
        <v>493.00201988165986</v>
      </c>
      <c r="C15" s="11">
        <v>555.82389825767791</v>
      </c>
      <c r="D15" s="11">
        <v>568.76339753397008</v>
      </c>
      <c r="E15" s="11">
        <v>577.22636351327287</v>
      </c>
      <c r="F15" s="11">
        <v>632.02415358167207</v>
      </c>
      <c r="G15" s="11"/>
      <c r="H15" s="11">
        <f t="shared" si="2"/>
        <v>63.260756047701989</v>
      </c>
      <c r="I15" s="11">
        <f>'RD T1'!E14</f>
        <v>339.50782833409841</v>
      </c>
      <c r="J15" s="11">
        <f t="shared" si="5"/>
        <v>402.76858438180039</v>
      </c>
      <c r="L15" s="10" t="str">
        <f>name!D11</f>
        <v>32 Health and social care associate professionals</v>
      </c>
      <c r="M15" s="11">
        <v>114.49174703160232</v>
      </c>
      <c r="N15" s="11">
        <v>118.5837107643288</v>
      </c>
      <c r="O15" s="11">
        <v>129.88613167068607</v>
      </c>
      <c r="P15" s="11">
        <v>118.8680502686726</v>
      </c>
      <c r="Q15" s="11">
        <v>125.92776715752774</v>
      </c>
      <c r="R15" s="11"/>
      <c r="S15" s="11">
        <f t="shared" si="3"/>
        <v>-3.9583645131583296</v>
      </c>
      <c r="T15" s="11">
        <f>'RD T1'!T14</f>
        <v>57.914248133760076</v>
      </c>
      <c r="U15" s="11">
        <f t="shared" si="6"/>
        <v>53.955883620601746</v>
      </c>
      <c r="W15" s="10" t="str">
        <f>name!D11</f>
        <v>32 Health and social care associate professionals</v>
      </c>
      <c r="X15" s="11">
        <v>378.51027285005705</v>
      </c>
      <c r="Y15" s="11">
        <v>437.24018749334897</v>
      </c>
      <c r="Z15" s="11">
        <v>438.87726586328404</v>
      </c>
      <c r="AA15" s="11">
        <v>458.35831324460031</v>
      </c>
      <c r="AB15" s="11">
        <v>506.09638642414427</v>
      </c>
      <c r="AC15" s="11"/>
      <c r="AD15" s="11">
        <f t="shared" si="4"/>
        <v>67.219120560860233</v>
      </c>
      <c r="AE15" s="11">
        <f>'RD T1'!T43</f>
        <v>281.59358020033841</v>
      </c>
      <c r="AF15" s="11">
        <f t="shared" si="7"/>
        <v>348.81270076119864</v>
      </c>
    </row>
    <row r="16" spans="1:32" x14ac:dyDescent="0.3">
      <c r="A16" s="10" t="str">
        <f>name!D12</f>
        <v>33 Protective service occupations</v>
      </c>
      <c r="B16" s="11">
        <v>294.53338224612929</v>
      </c>
      <c r="C16" s="11">
        <v>302.83777946632188</v>
      </c>
      <c r="D16" s="11">
        <v>321.69473826189443</v>
      </c>
      <c r="E16" s="11">
        <v>383.8000265113613</v>
      </c>
      <c r="F16" s="11">
        <v>442.14672512900484</v>
      </c>
      <c r="G16" s="11"/>
      <c r="H16" s="11">
        <f t="shared" si="2"/>
        <v>120.45198686711041</v>
      </c>
      <c r="I16" s="11">
        <f>'RD T1'!E15</f>
        <v>136.87264302037391</v>
      </c>
      <c r="J16" s="11">
        <f t="shared" si="5"/>
        <v>257.32462988748432</v>
      </c>
      <c r="L16" s="10" t="str">
        <f>name!D12</f>
        <v>33 Protective service occupations</v>
      </c>
      <c r="M16" s="11">
        <v>229.71943815941165</v>
      </c>
      <c r="N16" s="11">
        <v>230.20991784316666</v>
      </c>
      <c r="O16" s="11">
        <v>240.01153300204598</v>
      </c>
      <c r="P16" s="11">
        <v>274.54057987788394</v>
      </c>
      <c r="Q16" s="11">
        <v>297.39809617999998</v>
      </c>
      <c r="R16" s="11"/>
      <c r="S16" s="11">
        <f t="shared" si="3"/>
        <v>57.386563177954002</v>
      </c>
      <c r="T16" s="11">
        <f>'RD T1'!T15</f>
        <v>78.880094479024734</v>
      </c>
      <c r="U16" s="11">
        <f t="shared" si="6"/>
        <v>136.26665765697874</v>
      </c>
      <c r="W16" s="10" t="str">
        <f>name!D12</f>
        <v>33 Protective service occupations</v>
      </c>
      <c r="X16" s="11">
        <v>64.813944086716745</v>
      </c>
      <c r="Y16" s="11">
        <v>72.62786162315723</v>
      </c>
      <c r="Z16" s="11">
        <v>81.683205259849089</v>
      </c>
      <c r="AA16" s="11">
        <v>109.25944663347869</v>
      </c>
      <c r="AB16" s="11">
        <v>144.74862894900483</v>
      </c>
      <c r="AC16" s="11"/>
      <c r="AD16" s="11">
        <f t="shared" si="4"/>
        <v>63.065423689155736</v>
      </c>
      <c r="AE16" s="11">
        <f>'RD T1'!T44</f>
        <v>57.99254854134918</v>
      </c>
      <c r="AF16" s="11">
        <f t="shared" si="7"/>
        <v>121.05797223050492</v>
      </c>
    </row>
    <row r="17" spans="1:32" x14ac:dyDescent="0.3">
      <c r="A17" s="10" t="str">
        <f>name!D13</f>
        <v>34 Culture, media and sports occupations</v>
      </c>
      <c r="B17" s="11">
        <v>627.36985128235654</v>
      </c>
      <c r="C17" s="11">
        <v>627.37830048121612</v>
      </c>
      <c r="D17" s="11">
        <v>678.67489071769273</v>
      </c>
      <c r="E17" s="11">
        <v>673.70053836370653</v>
      </c>
      <c r="F17" s="11">
        <v>746.4495820140279</v>
      </c>
      <c r="G17" s="11"/>
      <c r="H17" s="11">
        <f t="shared" si="2"/>
        <v>67.774691296335163</v>
      </c>
      <c r="I17" s="11">
        <f>'RD T1'!E16</f>
        <v>325.91396210895095</v>
      </c>
      <c r="J17" s="11">
        <f t="shared" si="5"/>
        <v>393.68865340528612</v>
      </c>
      <c r="L17" s="10" t="str">
        <f>name!D13</f>
        <v>34 Culture, media and sports occupations</v>
      </c>
      <c r="M17" s="11">
        <v>347.34112331081229</v>
      </c>
      <c r="N17" s="11">
        <v>341.00638116839383</v>
      </c>
      <c r="O17" s="11">
        <v>349.86571390066342</v>
      </c>
      <c r="P17" s="11">
        <v>349.87269233460825</v>
      </c>
      <c r="Q17" s="11">
        <v>386.57977765691373</v>
      </c>
      <c r="R17" s="11"/>
      <c r="S17" s="11">
        <f t="shared" si="3"/>
        <v>36.714063756250312</v>
      </c>
      <c r="T17" s="11">
        <f>'RD T1'!T16</f>
        <v>145.79035361459569</v>
      </c>
      <c r="U17" s="11">
        <f t="shared" si="6"/>
        <v>182.504417370846</v>
      </c>
      <c r="W17" s="10" t="str">
        <f>name!D13</f>
        <v>34 Culture, media and sports occupations</v>
      </c>
      <c r="X17" s="11">
        <v>280.02872797154504</v>
      </c>
      <c r="Y17" s="11">
        <v>286.37191931282297</v>
      </c>
      <c r="Z17" s="11">
        <v>328.80917681702982</v>
      </c>
      <c r="AA17" s="11">
        <v>323.82784602909931</v>
      </c>
      <c r="AB17" s="11">
        <v>359.8698043571124</v>
      </c>
      <c r="AC17" s="11"/>
      <c r="AD17" s="11">
        <f t="shared" si="4"/>
        <v>31.060627540082578</v>
      </c>
      <c r="AE17" s="11">
        <f>'RD T1'!T45</f>
        <v>180.12360849435532</v>
      </c>
      <c r="AF17" s="11">
        <f t="shared" si="7"/>
        <v>211.1842360344379</v>
      </c>
    </row>
    <row r="18" spans="1:32" x14ac:dyDescent="0.3">
      <c r="A18" s="10" t="str">
        <f>name!D14</f>
        <v>35 Business and public service associate professionals</v>
      </c>
      <c r="B18" s="11">
        <v>1794.8908672659011</v>
      </c>
      <c r="C18" s="11">
        <v>1934.4233181110706</v>
      </c>
      <c r="D18" s="11">
        <v>1991.4785005112092</v>
      </c>
      <c r="E18" s="11">
        <v>1926.1668320533122</v>
      </c>
      <c r="F18" s="11">
        <v>2011.855838852345</v>
      </c>
      <c r="G18" s="11"/>
      <c r="H18" s="11">
        <f t="shared" si="2"/>
        <v>20.377338341135783</v>
      </c>
      <c r="I18" s="11">
        <f>'RD T1'!E17</f>
        <v>905.45540438738897</v>
      </c>
      <c r="J18" s="11">
        <f t="shared" si="5"/>
        <v>925.83274272852475</v>
      </c>
      <c r="L18" s="10" t="str">
        <f>name!D14</f>
        <v>35 Business and public service associate professionals</v>
      </c>
      <c r="M18" s="11">
        <v>965.95917277592878</v>
      </c>
      <c r="N18" s="11">
        <v>1018.4470827087142</v>
      </c>
      <c r="O18" s="11">
        <v>1052.4349280010256</v>
      </c>
      <c r="P18" s="11">
        <v>985.35328977590461</v>
      </c>
      <c r="Q18" s="11">
        <v>986.77342770073051</v>
      </c>
      <c r="R18" s="11"/>
      <c r="S18" s="11">
        <f t="shared" si="3"/>
        <v>-65.661500300295074</v>
      </c>
      <c r="T18" s="11">
        <f>'RD T1'!T17</f>
        <v>384.45348145942421</v>
      </c>
      <c r="U18" s="11">
        <f t="shared" si="6"/>
        <v>318.79198115912914</v>
      </c>
      <c r="W18" s="10" t="str">
        <f>name!D14</f>
        <v>35 Business and public service associate professionals</v>
      </c>
      <c r="X18" s="11">
        <v>828.93169448996821</v>
      </c>
      <c r="Y18" s="11">
        <v>915.97623540235111</v>
      </c>
      <c r="Z18" s="11">
        <v>939.04357251018348</v>
      </c>
      <c r="AA18" s="11">
        <v>940.81354227741213</v>
      </c>
      <c r="AB18" s="11">
        <v>1025.0824111516172</v>
      </c>
      <c r="AC18" s="11"/>
      <c r="AD18" s="11">
        <f t="shared" si="4"/>
        <v>86.038838641433699</v>
      </c>
      <c r="AE18" s="11">
        <f>'RD T1'!T46</f>
        <v>521.0019229279651</v>
      </c>
      <c r="AF18" s="11">
        <f t="shared" si="7"/>
        <v>607.0407615693988</v>
      </c>
    </row>
    <row r="19" spans="1:32" x14ac:dyDescent="0.3">
      <c r="A19" s="10" t="str">
        <f>name!D15</f>
        <v>41 Administrative occupations</v>
      </c>
      <c r="B19" s="11">
        <v>2509.3095493404007</v>
      </c>
      <c r="C19" s="11">
        <v>2472.5923602894604</v>
      </c>
      <c r="D19" s="11">
        <v>2574.3940918239059</v>
      </c>
      <c r="E19" s="11">
        <v>2372.2937772534642</v>
      </c>
      <c r="F19" s="11">
        <v>2246.6551666385835</v>
      </c>
      <c r="G19" s="11"/>
      <c r="H19" s="11">
        <f t="shared" si="2"/>
        <v>-327.73892518532239</v>
      </c>
      <c r="I19" s="11">
        <f>'RD T1'!E18</f>
        <v>1171.3031330190847</v>
      </c>
      <c r="J19" s="11">
        <f t="shared" si="5"/>
        <v>843.56420783376234</v>
      </c>
      <c r="L19" s="10" t="str">
        <f>name!D15</f>
        <v>41 Administrative occupations</v>
      </c>
      <c r="M19" s="11">
        <v>727.83657437185593</v>
      </c>
      <c r="N19" s="11">
        <v>694.85889696752349</v>
      </c>
      <c r="O19" s="11">
        <v>821.77107881001939</v>
      </c>
      <c r="P19" s="11">
        <v>782.66320359816132</v>
      </c>
      <c r="Q19" s="11">
        <v>845.4746752433706</v>
      </c>
      <c r="R19" s="11"/>
      <c r="S19" s="11">
        <f t="shared" si="3"/>
        <v>23.703596433351208</v>
      </c>
      <c r="T19" s="11">
        <f>'RD T1'!T18</f>
        <v>301.70852589100224</v>
      </c>
      <c r="U19" s="11">
        <f t="shared" si="6"/>
        <v>325.41212232435345</v>
      </c>
      <c r="W19" s="10" t="str">
        <f>name!D15</f>
        <v>41 Administrative occupations</v>
      </c>
      <c r="X19" s="11">
        <v>1781.4729749685393</v>
      </c>
      <c r="Y19" s="11">
        <v>1777.733463321933</v>
      </c>
      <c r="Z19" s="11">
        <v>1752.6230130138795</v>
      </c>
      <c r="AA19" s="11">
        <v>1589.6305736553024</v>
      </c>
      <c r="AB19" s="11">
        <v>1401.1804913952133</v>
      </c>
      <c r="AC19" s="11"/>
      <c r="AD19" s="11">
        <f t="shared" si="4"/>
        <v>-351.44252161866621</v>
      </c>
      <c r="AE19" s="11">
        <f>'RD T1'!T47</f>
        <v>869.59460712808288</v>
      </c>
      <c r="AF19" s="11">
        <f t="shared" si="7"/>
        <v>518.15208550941668</v>
      </c>
    </row>
    <row r="20" spans="1:32" x14ac:dyDescent="0.3">
      <c r="A20" s="10" t="str">
        <f>name!D16</f>
        <v>42 Secretarial and related occupations</v>
      </c>
      <c r="B20" s="11">
        <v>640.1842113063916</v>
      </c>
      <c r="C20" s="11">
        <v>588.31426570119652</v>
      </c>
      <c r="D20" s="11">
        <v>572.63624585098148</v>
      </c>
      <c r="E20" s="11">
        <v>596.67421976235141</v>
      </c>
      <c r="F20" s="11">
        <v>473.46688944481207</v>
      </c>
      <c r="G20" s="11"/>
      <c r="H20" s="11">
        <f t="shared" si="2"/>
        <v>-99.169356406169413</v>
      </c>
      <c r="I20" s="11">
        <f>'RD T1'!E19</f>
        <v>294.25340665650538</v>
      </c>
      <c r="J20" s="11">
        <f t="shared" si="5"/>
        <v>195.08405025033596</v>
      </c>
      <c r="L20" s="10" t="str">
        <f>name!D16</f>
        <v>42 Secretarial and related occupations</v>
      </c>
      <c r="M20" s="11">
        <v>46.093453153348051</v>
      </c>
      <c r="N20" s="11">
        <v>36.224104031741653</v>
      </c>
      <c r="O20" s="11">
        <v>34.880414988977662</v>
      </c>
      <c r="P20" s="11">
        <v>45.655908066404145</v>
      </c>
      <c r="Q20" s="11">
        <v>55.142420484503241</v>
      </c>
      <c r="R20" s="11"/>
      <c r="S20" s="11">
        <f t="shared" si="3"/>
        <v>20.262005495525578</v>
      </c>
      <c r="T20" s="11">
        <f>'RD T1'!T19</f>
        <v>15.770166052731492</v>
      </c>
      <c r="U20" s="11">
        <f t="shared" si="6"/>
        <v>36.032171548257068</v>
      </c>
      <c r="W20" s="10" t="str">
        <f>name!D16</f>
        <v>42 Secretarial and related occupations</v>
      </c>
      <c r="X20" s="11">
        <v>594.09075815304334</v>
      </c>
      <c r="Y20" s="11">
        <v>552.09016166945469</v>
      </c>
      <c r="Z20" s="11">
        <v>537.75583086200299</v>
      </c>
      <c r="AA20" s="11">
        <v>551.01831169594618</v>
      </c>
      <c r="AB20" s="11">
        <v>418.32446896030871</v>
      </c>
      <c r="AC20" s="11"/>
      <c r="AD20" s="11">
        <f t="shared" si="4"/>
        <v>-119.43136190169429</v>
      </c>
      <c r="AE20" s="11">
        <f>'RD T1'!T48</f>
        <v>278.48324060377394</v>
      </c>
      <c r="AF20" s="11">
        <f t="shared" si="7"/>
        <v>159.05187870207965</v>
      </c>
    </row>
    <row r="21" spans="1:32" x14ac:dyDescent="0.3">
      <c r="A21" s="10" t="str">
        <f>name!D17</f>
        <v>51 Skilled agricultural and related trades</v>
      </c>
      <c r="B21" s="11">
        <v>298.83864607965563</v>
      </c>
      <c r="C21" s="11">
        <v>302.26783410806149</v>
      </c>
      <c r="D21" s="11">
        <v>271.23814466195341</v>
      </c>
      <c r="E21" s="11">
        <v>278.07886381464004</v>
      </c>
      <c r="F21" s="11">
        <v>309.33559436851789</v>
      </c>
      <c r="G21" s="11"/>
      <c r="H21" s="11">
        <f t="shared" si="2"/>
        <v>38.097449706564475</v>
      </c>
      <c r="I21" s="11">
        <f>'RD T1'!E20</f>
        <v>161.91084247964207</v>
      </c>
      <c r="J21" s="11">
        <f t="shared" si="5"/>
        <v>200.00829218620655</v>
      </c>
      <c r="L21" s="10" t="str">
        <f>name!D17</f>
        <v>51 Skilled agricultural and related trades</v>
      </c>
      <c r="M21" s="11">
        <v>250.64111379511544</v>
      </c>
      <c r="N21" s="11">
        <v>252.30613759773524</v>
      </c>
      <c r="O21" s="11">
        <v>216.4917872484462</v>
      </c>
      <c r="P21" s="11">
        <v>215.99991888401519</v>
      </c>
      <c r="Q21" s="11">
        <v>232.90152987381191</v>
      </c>
      <c r="R21" s="11"/>
      <c r="S21" s="11">
        <f t="shared" si="3"/>
        <v>16.409742625365709</v>
      </c>
      <c r="T21" s="11">
        <f>'RD T1'!T20</f>
        <v>116.22411615750489</v>
      </c>
      <c r="U21" s="11">
        <f t="shared" si="6"/>
        <v>132.63385878287062</v>
      </c>
      <c r="W21" s="10" t="str">
        <f>name!D17</f>
        <v>51 Skilled agricultural and related trades</v>
      </c>
      <c r="X21" s="11">
        <v>48.197532284540223</v>
      </c>
      <c r="Y21" s="11">
        <v>49.961696510325559</v>
      </c>
      <c r="Z21" s="11">
        <v>54.746357413507347</v>
      </c>
      <c r="AA21" s="11">
        <v>62.078944930624594</v>
      </c>
      <c r="AB21" s="11">
        <v>76.434064494706206</v>
      </c>
      <c r="AC21" s="11"/>
      <c r="AD21" s="11">
        <f t="shared" si="4"/>
        <v>21.687707081198859</v>
      </c>
      <c r="AE21" s="11">
        <f>'RD T1'!T49</f>
        <v>45.686726322137183</v>
      </c>
      <c r="AF21" s="11">
        <f t="shared" si="7"/>
        <v>67.374433403336042</v>
      </c>
    </row>
    <row r="22" spans="1:32" x14ac:dyDescent="0.3">
      <c r="A22" s="10" t="str">
        <f>name!D18</f>
        <v>52 Skilled metal, electrical and electronic trades</v>
      </c>
      <c r="B22" s="11">
        <v>1042.1574658136535</v>
      </c>
      <c r="C22" s="11">
        <v>1064.18444026626</v>
      </c>
      <c r="D22" s="11">
        <v>926.35566763503004</v>
      </c>
      <c r="E22" s="11">
        <v>921.75387247782987</v>
      </c>
      <c r="F22" s="11">
        <v>872.67621532730266</v>
      </c>
      <c r="G22" s="11"/>
      <c r="H22" s="11">
        <f t="shared" si="2"/>
        <v>-53.679452307727388</v>
      </c>
      <c r="I22" s="11">
        <f>'RD T1'!E21</f>
        <v>346.83126946211644</v>
      </c>
      <c r="J22" s="11">
        <f t="shared" si="5"/>
        <v>293.15181715438905</v>
      </c>
      <c r="L22" s="10" t="str">
        <f>name!D18</f>
        <v>52 Skilled metal, electrical and electronic trades</v>
      </c>
      <c r="M22" s="11">
        <v>1024.0224599930325</v>
      </c>
      <c r="N22" s="11">
        <v>1033.9838601018039</v>
      </c>
      <c r="O22" s="11">
        <v>902.88263585794652</v>
      </c>
      <c r="P22" s="11">
        <v>868.66180646484361</v>
      </c>
      <c r="Q22" s="11">
        <v>805.40123660550387</v>
      </c>
      <c r="R22" s="11"/>
      <c r="S22" s="11">
        <f t="shared" si="3"/>
        <v>-97.481399252442657</v>
      </c>
      <c r="T22" s="11">
        <f>'RD T1'!T21</f>
        <v>315.64177351591667</v>
      </c>
      <c r="U22" s="11">
        <f t="shared" si="6"/>
        <v>218.16037426347401</v>
      </c>
      <c r="W22" s="10" t="str">
        <f>name!D18</f>
        <v>52 Skilled metal, electrical and electronic trades</v>
      </c>
      <c r="X22" s="11">
        <v>18.135005820620453</v>
      </c>
      <c r="Y22" s="11">
        <v>30.200580164460817</v>
      </c>
      <c r="Z22" s="11">
        <v>23.473031777086184</v>
      </c>
      <c r="AA22" s="11">
        <v>53.092066012984823</v>
      </c>
      <c r="AB22" s="11">
        <v>67.27497872179913</v>
      </c>
      <c r="AC22" s="11"/>
      <c r="AD22" s="11">
        <f t="shared" si="4"/>
        <v>43.801946944712945</v>
      </c>
      <c r="AE22" s="11">
        <f>'RD T1'!T50</f>
        <v>31.189495946199699</v>
      </c>
      <c r="AF22" s="11">
        <f t="shared" si="7"/>
        <v>74.991442890912651</v>
      </c>
    </row>
    <row r="23" spans="1:32" x14ac:dyDescent="0.3">
      <c r="A23" s="10" t="str">
        <f>name!D19</f>
        <v>53 Skilled construction and building trades</v>
      </c>
      <c r="B23" s="11">
        <v>918.22690874959676</v>
      </c>
      <c r="C23" s="11">
        <v>907.39739905518638</v>
      </c>
      <c r="D23" s="11">
        <v>767.57313691964396</v>
      </c>
      <c r="E23" s="11">
        <v>809.08762001601656</v>
      </c>
      <c r="F23" s="11">
        <v>763.22944153326262</v>
      </c>
      <c r="G23" s="11"/>
      <c r="H23" s="11">
        <f t="shared" si="2"/>
        <v>-4.3436953863813415</v>
      </c>
      <c r="I23" s="11">
        <f>'RD T1'!E22</f>
        <v>332.95345598554866</v>
      </c>
      <c r="J23" s="11">
        <f t="shared" si="5"/>
        <v>328.60976059916732</v>
      </c>
      <c r="L23" s="10" t="str">
        <f>name!D19</f>
        <v>53 Skilled construction and building trades</v>
      </c>
      <c r="M23" s="11">
        <v>903.50029006499324</v>
      </c>
      <c r="N23" s="11">
        <v>889.03762345727</v>
      </c>
      <c r="O23" s="11">
        <v>749.05260189348758</v>
      </c>
      <c r="P23" s="11">
        <v>788.66788828484016</v>
      </c>
      <c r="Q23" s="11">
        <v>738.35548474687459</v>
      </c>
      <c r="R23" s="11"/>
      <c r="S23" s="11">
        <f t="shared" si="3"/>
        <v>-10.697117146612982</v>
      </c>
      <c r="T23" s="11">
        <f>'RD T1'!T22</f>
        <v>321.17765926218067</v>
      </c>
      <c r="U23" s="11">
        <f t="shared" si="6"/>
        <v>310.48054211556769</v>
      </c>
      <c r="W23" s="10" t="str">
        <f>name!D19</f>
        <v>53 Skilled construction and building trades</v>
      </c>
      <c r="X23" s="11">
        <v>14.726618684604235</v>
      </c>
      <c r="Y23" s="11">
        <v>18.359775597916549</v>
      </c>
      <c r="Z23" s="11">
        <v>18.520535026156988</v>
      </c>
      <c r="AA23" s="11">
        <v>20.419731731176622</v>
      </c>
      <c r="AB23" s="11">
        <v>24.873956786388767</v>
      </c>
      <c r="AC23" s="11"/>
      <c r="AD23" s="11">
        <f t="shared" si="4"/>
        <v>6.3534217602317788</v>
      </c>
      <c r="AE23" s="11">
        <f>'RD T1'!T51</f>
        <v>11.775796723368103</v>
      </c>
      <c r="AF23" s="11">
        <f t="shared" si="7"/>
        <v>18.129218483599882</v>
      </c>
    </row>
    <row r="24" spans="1:32" x14ac:dyDescent="0.3">
      <c r="A24" s="10" t="str">
        <f>name!D20</f>
        <v>54 Textiles, printing and other skilled trades</v>
      </c>
      <c r="B24" s="11">
        <v>630.46793566083784</v>
      </c>
      <c r="C24" s="11">
        <v>576.92178100426145</v>
      </c>
      <c r="D24" s="11">
        <v>545.11129837873182</v>
      </c>
      <c r="E24" s="11">
        <v>545.31726105873133</v>
      </c>
      <c r="F24" s="11">
        <v>548.89697532090725</v>
      </c>
      <c r="G24" s="11"/>
      <c r="H24" s="11">
        <f t="shared" si="2"/>
        <v>3.7856769421754279</v>
      </c>
      <c r="I24" s="11">
        <f>'RD T1'!E23</f>
        <v>236.28275937142385</v>
      </c>
      <c r="J24" s="11">
        <f t="shared" si="5"/>
        <v>240.06843631359928</v>
      </c>
      <c r="L24" s="10" t="str">
        <f>name!D20</f>
        <v>54 Textiles, printing and other skilled trades</v>
      </c>
      <c r="M24" s="11">
        <v>401.76819481597698</v>
      </c>
      <c r="N24" s="11">
        <v>364.10475426804828</v>
      </c>
      <c r="O24" s="11">
        <v>319.01820087382151</v>
      </c>
      <c r="P24" s="11">
        <v>318.01192360112572</v>
      </c>
      <c r="Q24" s="11">
        <v>317.25887537678119</v>
      </c>
      <c r="R24" s="11"/>
      <c r="S24" s="11">
        <f t="shared" si="3"/>
        <v>-1.7593254970403223</v>
      </c>
      <c r="T24" s="11">
        <f>'RD T1'!T23</f>
        <v>103.55204511900868</v>
      </c>
      <c r="U24" s="11">
        <f t="shared" si="6"/>
        <v>101.79271962196836</v>
      </c>
      <c r="W24" s="10" t="str">
        <f>name!D20</f>
        <v>54 Textiles, printing and other skilled trades</v>
      </c>
      <c r="X24" s="11">
        <v>228.69974084486122</v>
      </c>
      <c r="Y24" s="11">
        <v>212.81702673621379</v>
      </c>
      <c r="Z24" s="11">
        <v>226.09309750491133</v>
      </c>
      <c r="AA24" s="11">
        <v>227.3053374576059</v>
      </c>
      <c r="AB24" s="11">
        <v>231.63809994412549</v>
      </c>
      <c r="AC24" s="11"/>
      <c r="AD24" s="11">
        <f t="shared" si="4"/>
        <v>5.5450024392141586</v>
      </c>
      <c r="AE24" s="11">
        <f>'RD T1'!T52</f>
        <v>132.73071425241523</v>
      </c>
      <c r="AF24" s="11">
        <f t="shared" si="7"/>
        <v>138.27571669162938</v>
      </c>
    </row>
    <row r="25" spans="1:32" x14ac:dyDescent="0.3">
      <c r="A25" s="10" t="str">
        <f>name!D21</f>
        <v>61 Caring personal service occupations</v>
      </c>
      <c r="B25" s="11">
        <v>2030.2468142039761</v>
      </c>
      <c r="C25" s="11">
        <v>2089.805287791341</v>
      </c>
      <c r="D25" s="11">
        <v>2025.984443266439</v>
      </c>
      <c r="E25" s="11">
        <v>2205.3352260260999</v>
      </c>
      <c r="F25" s="11">
        <v>2414.2517515389786</v>
      </c>
      <c r="G25" s="11"/>
      <c r="H25" s="11">
        <f t="shared" si="2"/>
        <v>388.26730827253959</v>
      </c>
      <c r="I25" s="11">
        <f>'RD T1'!E24</f>
        <v>1260.2642856311675</v>
      </c>
      <c r="J25" s="11">
        <f t="shared" si="5"/>
        <v>1648.5315939037071</v>
      </c>
      <c r="L25" s="10" t="str">
        <f>name!D21</f>
        <v>61 Caring personal service occupations</v>
      </c>
      <c r="M25" s="11">
        <v>311.25983263375065</v>
      </c>
      <c r="N25" s="11">
        <v>322.48355148768314</v>
      </c>
      <c r="O25" s="11">
        <v>312.97511016662554</v>
      </c>
      <c r="P25" s="11">
        <v>385.67827822238667</v>
      </c>
      <c r="Q25" s="11">
        <v>450.22291537054377</v>
      </c>
      <c r="R25" s="11"/>
      <c r="S25" s="11">
        <f t="shared" si="3"/>
        <v>137.24780520391823</v>
      </c>
      <c r="T25" s="11">
        <f>'RD T1'!T24</f>
        <v>178.13488658526296</v>
      </c>
      <c r="U25" s="11">
        <f t="shared" si="6"/>
        <v>315.38269178918119</v>
      </c>
      <c r="W25" s="10" t="str">
        <f>name!D21</f>
        <v>61 Caring personal service occupations</v>
      </c>
      <c r="X25" s="11">
        <v>1718.9869815702225</v>
      </c>
      <c r="Y25" s="11">
        <v>1767.3217363036547</v>
      </c>
      <c r="Z25" s="11">
        <v>1713.009333099815</v>
      </c>
      <c r="AA25" s="11">
        <v>1819.6569478037168</v>
      </c>
      <c r="AB25" s="11">
        <v>1964.0288361684375</v>
      </c>
      <c r="AC25" s="11"/>
      <c r="AD25" s="11">
        <f t="shared" si="4"/>
        <v>251.0195030686225</v>
      </c>
      <c r="AE25" s="11">
        <f>'RD T1'!T53</f>
        <v>1082.1293990459044</v>
      </c>
      <c r="AF25" s="11">
        <f t="shared" si="7"/>
        <v>1333.1489021145269</v>
      </c>
    </row>
    <row r="26" spans="1:32" x14ac:dyDescent="0.3">
      <c r="A26" s="10" t="str">
        <f>name!D22</f>
        <v>62 Leisure, travel and related personal service occupations</v>
      </c>
      <c r="B26" s="11">
        <v>627.38990653790802</v>
      </c>
      <c r="C26" s="11">
        <v>680.2954268390763</v>
      </c>
      <c r="D26" s="11">
        <v>625.46697377789098</v>
      </c>
      <c r="E26" s="11">
        <v>638.83622897159728</v>
      </c>
      <c r="F26" s="11">
        <v>662.04991372339862</v>
      </c>
      <c r="G26" s="11"/>
      <c r="H26" s="11">
        <f t="shared" si="2"/>
        <v>36.582939945507633</v>
      </c>
      <c r="I26" s="11">
        <f>'RD T1'!E25</f>
        <v>328.02023827126732</v>
      </c>
      <c r="J26" s="11">
        <f t="shared" si="5"/>
        <v>364.60317821677495</v>
      </c>
      <c r="L26" s="10" t="str">
        <f>name!D22</f>
        <v>62 Leisure, travel and related personal service occupations</v>
      </c>
      <c r="M26" s="11">
        <v>184.68109088265959</v>
      </c>
      <c r="N26" s="11">
        <v>207.7612005136078</v>
      </c>
      <c r="O26" s="11">
        <v>197.13555286994591</v>
      </c>
      <c r="P26" s="11">
        <v>204.17130420078985</v>
      </c>
      <c r="Q26" s="11">
        <v>223.67395237106967</v>
      </c>
      <c r="R26" s="11"/>
      <c r="S26" s="11">
        <f t="shared" si="3"/>
        <v>26.538399501123763</v>
      </c>
      <c r="T26" s="11">
        <f>'RD T1'!T25</f>
        <v>91.088627919202381</v>
      </c>
      <c r="U26" s="11">
        <f t="shared" si="6"/>
        <v>117.62702742032614</v>
      </c>
      <c r="W26" s="10" t="str">
        <f>name!D22</f>
        <v>62 Leisure, travel and related personal service occupations</v>
      </c>
      <c r="X26" s="11">
        <v>442.70881565524837</v>
      </c>
      <c r="Y26" s="11">
        <v>472.5342263254683</v>
      </c>
      <c r="Z26" s="11">
        <v>428.3314209079445</v>
      </c>
      <c r="AA26" s="11">
        <v>434.66492477080754</v>
      </c>
      <c r="AB26" s="11">
        <v>438.37596135232826</v>
      </c>
      <c r="AC26" s="11"/>
      <c r="AD26" s="11">
        <f t="shared" si="4"/>
        <v>10.044540444383756</v>
      </c>
      <c r="AE26" s="11">
        <f>'RD T1'!T54</f>
        <v>236.93161035206495</v>
      </c>
      <c r="AF26" s="11">
        <f t="shared" si="7"/>
        <v>246.97615079644871</v>
      </c>
    </row>
    <row r="27" spans="1:32" x14ac:dyDescent="0.3">
      <c r="A27" s="10" t="str">
        <f>name!D23</f>
        <v>63 Community and civil enforcement occupations</v>
      </c>
      <c r="B27" s="11">
        <v>28.840224624383744</v>
      </c>
      <c r="C27" s="11">
        <v>24.87542038018313</v>
      </c>
      <c r="D27" s="11">
        <v>31.742463409059319</v>
      </c>
      <c r="E27" s="11">
        <v>25.76945966743477</v>
      </c>
      <c r="F27" s="11">
        <v>27.819487466245615</v>
      </c>
      <c r="G27" s="11"/>
      <c r="H27" s="11">
        <f t="shared" si="2"/>
        <v>-3.9229759428137037</v>
      </c>
      <c r="I27" s="11">
        <f>'RD T1'!E26</f>
        <v>13.11819382666401</v>
      </c>
      <c r="J27" s="11">
        <f t="shared" si="5"/>
        <v>9.1952178838503063</v>
      </c>
      <c r="L27" s="10" t="str">
        <f>name!D23</f>
        <v>63 Community and civil enforcement occupations</v>
      </c>
      <c r="M27" s="11">
        <v>22.290786952543883</v>
      </c>
      <c r="N27" s="11">
        <v>16.842116200071658</v>
      </c>
      <c r="O27" s="11">
        <v>24.710118111484132</v>
      </c>
      <c r="P27" s="11">
        <v>16.432137131826554</v>
      </c>
      <c r="Q27" s="11">
        <v>18.627168891848136</v>
      </c>
      <c r="R27" s="11"/>
      <c r="S27" s="11">
        <f t="shared" si="3"/>
        <v>-6.0829492196359958</v>
      </c>
      <c r="T27" s="11">
        <f>'RD T1'!T26</f>
        <v>7.3498898263734498</v>
      </c>
      <c r="U27" s="11">
        <f t="shared" si="6"/>
        <v>1.266940606737454</v>
      </c>
      <c r="W27" s="10" t="str">
        <f>name!D23</f>
        <v>63 Community and civil enforcement occupations</v>
      </c>
      <c r="X27" s="11">
        <v>6.549437671839911</v>
      </c>
      <c r="Y27" s="11">
        <v>8.033304180111541</v>
      </c>
      <c r="Z27" s="11">
        <v>7.0323452975752208</v>
      </c>
      <c r="AA27" s="11">
        <v>9.3373225356081608</v>
      </c>
      <c r="AB27" s="11">
        <v>9.1923185743974862</v>
      </c>
      <c r="AC27" s="11"/>
      <c r="AD27" s="11">
        <f t="shared" si="4"/>
        <v>2.1599732768222655</v>
      </c>
      <c r="AE27" s="11">
        <f>'RD T1'!T55</f>
        <v>5.7683040002905583</v>
      </c>
      <c r="AF27" s="11">
        <f t="shared" si="7"/>
        <v>7.9282772771128238</v>
      </c>
    </row>
    <row r="28" spans="1:32" x14ac:dyDescent="0.3">
      <c r="A28" s="10" t="str">
        <f>name!D24</f>
        <v>71 Sales occupations</v>
      </c>
      <c r="B28" s="11">
        <v>1992.1189392123579</v>
      </c>
      <c r="C28" s="11">
        <v>1892.2329930164867</v>
      </c>
      <c r="D28" s="11">
        <v>1852.3067229280093</v>
      </c>
      <c r="E28" s="11">
        <v>1722.4810841858018</v>
      </c>
      <c r="F28" s="11">
        <v>1638.8493200669641</v>
      </c>
      <c r="G28" s="11"/>
      <c r="H28" s="11">
        <f t="shared" si="2"/>
        <v>-213.45740286104524</v>
      </c>
      <c r="I28" s="11">
        <f>'RD T1'!E27</f>
        <v>785.72971811970933</v>
      </c>
      <c r="J28" s="11">
        <f t="shared" si="5"/>
        <v>572.27231525866409</v>
      </c>
      <c r="L28" s="10" t="str">
        <f>name!D24</f>
        <v>71 Sales occupations</v>
      </c>
      <c r="M28" s="11">
        <v>793.63754454260584</v>
      </c>
      <c r="N28" s="11">
        <v>788.63363985370279</v>
      </c>
      <c r="O28" s="11">
        <v>771.65082315172208</v>
      </c>
      <c r="P28" s="11">
        <v>728.29434390189363</v>
      </c>
      <c r="Q28" s="11">
        <v>714.91978445695713</v>
      </c>
      <c r="R28" s="11"/>
      <c r="S28" s="11">
        <f t="shared" si="3"/>
        <v>-56.731038694764948</v>
      </c>
      <c r="T28" s="11">
        <f>'RD T1'!T27</f>
        <v>245.50460308907586</v>
      </c>
      <c r="U28" s="11">
        <f t="shared" si="6"/>
        <v>188.77356439431091</v>
      </c>
      <c r="W28" s="10" t="str">
        <f>name!D24</f>
        <v>71 Sales occupations</v>
      </c>
      <c r="X28" s="11">
        <v>1198.4813946697545</v>
      </c>
      <c r="Y28" s="11">
        <v>1103.5993531627848</v>
      </c>
      <c r="Z28" s="11">
        <v>1080.6558997762857</v>
      </c>
      <c r="AA28" s="11">
        <v>994.18674028391251</v>
      </c>
      <c r="AB28" s="11">
        <v>923.92953561000832</v>
      </c>
      <c r="AC28" s="11"/>
      <c r="AD28" s="11">
        <f t="shared" si="4"/>
        <v>-156.72636416627734</v>
      </c>
      <c r="AE28" s="11">
        <f>'RD T1'!T56</f>
        <v>540.22511503063356</v>
      </c>
      <c r="AF28" s="11">
        <f t="shared" si="7"/>
        <v>383.49875086435623</v>
      </c>
    </row>
    <row r="29" spans="1:32" x14ac:dyDescent="0.3">
      <c r="A29" s="10" t="str">
        <f>name!D25</f>
        <v>72 Customer service occupations</v>
      </c>
      <c r="B29" s="11">
        <v>459.59571905867102</v>
      </c>
      <c r="C29" s="11">
        <v>498.82909103944002</v>
      </c>
      <c r="D29" s="11">
        <v>510.02655870683429</v>
      </c>
      <c r="E29" s="11">
        <v>656.65877897986149</v>
      </c>
      <c r="F29" s="11">
        <v>749.94596673149408</v>
      </c>
      <c r="G29" s="11"/>
      <c r="H29" s="11">
        <f t="shared" si="2"/>
        <v>239.91940802465979</v>
      </c>
      <c r="I29" s="11">
        <f>'RD T1'!E28</f>
        <v>306.77553740280422</v>
      </c>
      <c r="J29" s="11">
        <f t="shared" si="5"/>
        <v>546.69494542746406</v>
      </c>
      <c r="L29" s="10" t="str">
        <f>name!D25</f>
        <v>72 Customer service occupations</v>
      </c>
      <c r="M29" s="11">
        <v>181.54292303428872</v>
      </c>
      <c r="N29" s="11">
        <v>170.95875554882193</v>
      </c>
      <c r="O29" s="11">
        <v>198.01870062968607</v>
      </c>
      <c r="P29" s="11">
        <v>273.91974963764926</v>
      </c>
      <c r="Q29" s="11">
        <v>322.73100541151939</v>
      </c>
      <c r="R29" s="11"/>
      <c r="S29" s="11">
        <f t="shared" si="3"/>
        <v>124.71230478183332</v>
      </c>
      <c r="T29" s="11">
        <f>'RD T1'!T28</f>
        <v>96.745451889688837</v>
      </c>
      <c r="U29" s="11">
        <f t="shared" si="6"/>
        <v>221.45775667152216</v>
      </c>
      <c r="W29" s="10" t="str">
        <f>name!D25</f>
        <v>72 Customer service occupations</v>
      </c>
      <c r="X29" s="11">
        <v>278.05279602438247</v>
      </c>
      <c r="Y29" s="11">
        <v>327.87033549061778</v>
      </c>
      <c r="Z29" s="11">
        <v>312.0078580771488</v>
      </c>
      <c r="AA29" s="11">
        <v>382.73902934221337</v>
      </c>
      <c r="AB29" s="11">
        <v>427.21496131997407</v>
      </c>
      <c r="AC29" s="11"/>
      <c r="AD29" s="11">
        <f t="shared" si="4"/>
        <v>115.20710324282527</v>
      </c>
      <c r="AE29" s="11">
        <f>'RD T1'!T57</f>
        <v>210.03008551311541</v>
      </c>
      <c r="AF29" s="11">
        <f t="shared" si="7"/>
        <v>325.23718875594068</v>
      </c>
    </row>
    <row r="30" spans="1:32" x14ac:dyDescent="0.3">
      <c r="A30" s="10" t="str">
        <f>name!D26</f>
        <v>81 Process, plant and machine operatives</v>
      </c>
      <c r="B30" s="11">
        <v>713.31333030825101</v>
      </c>
      <c r="C30" s="11">
        <v>691.72064265695496</v>
      </c>
      <c r="D30" s="11">
        <v>607.28189366049708</v>
      </c>
      <c r="E30" s="11">
        <v>731.01802160684156</v>
      </c>
      <c r="F30" s="11">
        <v>716.39137017341181</v>
      </c>
      <c r="G30" s="11"/>
      <c r="H30" s="11">
        <f t="shared" si="2"/>
        <v>109.10947651291474</v>
      </c>
      <c r="I30" s="11">
        <f>'RD T1'!E29</f>
        <v>280.32638721605076</v>
      </c>
      <c r="J30" s="11">
        <f t="shared" si="5"/>
        <v>389.4358637289655</v>
      </c>
      <c r="L30" s="10" t="str">
        <f>name!D26</f>
        <v>81 Process, plant and machine operatives</v>
      </c>
      <c r="M30" s="11">
        <v>556.98642676520933</v>
      </c>
      <c r="N30" s="11">
        <v>528.98645036415655</v>
      </c>
      <c r="O30" s="11">
        <v>467.28705132247853</v>
      </c>
      <c r="P30" s="11">
        <v>555.39360523023709</v>
      </c>
      <c r="Q30" s="11">
        <v>538.38676386550969</v>
      </c>
      <c r="R30" s="11"/>
      <c r="S30" s="11">
        <f t="shared" si="3"/>
        <v>71.09971254303116</v>
      </c>
      <c r="T30" s="11">
        <f>'RD T1'!T29</f>
        <v>195.22869083028277</v>
      </c>
      <c r="U30" s="11">
        <f t="shared" si="6"/>
        <v>266.3284033733139</v>
      </c>
      <c r="W30" s="10" t="str">
        <f>name!D26</f>
        <v>81 Process, plant and machine operatives</v>
      </c>
      <c r="X30" s="11">
        <v>156.32690354304097</v>
      </c>
      <c r="Y30" s="11">
        <v>162.7341922927977</v>
      </c>
      <c r="Z30" s="11">
        <v>139.99484233801778</v>
      </c>
      <c r="AA30" s="11">
        <v>175.62441637660456</v>
      </c>
      <c r="AB30" s="11">
        <v>178.00460630790263</v>
      </c>
      <c r="AC30" s="11"/>
      <c r="AD30" s="11">
        <f t="shared" si="4"/>
        <v>38.009763969884858</v>
      </c>
      <c r="AE30" s="11">
        <f>'RD T1'!T58</f>
        <v>85.097696385767946</v>
      </c>
      <c r="AF30" s="11">
        <f t="shared" si="7"/>
        <v>123.1074603556528</v>
      </c>
    </row>
    <row r="31" spans="1:32" x14ac:dyDescent="0.3">
      <c r="A31" s="10" t="str">
        <f>name!D27</f>
        <v>82 Transport and mobile machine drivers and operatives</v>
      </c>
      <c r="B31" s="11">
        <v>1054.0123740558722</v>
      </c>
      <c r="C31" s="11">
        <v>1178.8274412312694</v>
      </c>
      <c r="D31" s="11">
        <v>1054.8556506340044</v>
      </c>
      <c r="E31" s="11">
        <v>1136.9139474279507</v>
      </c>
      <c r="F31" s="11">
        <v>1135.6959002790093</v>
      </c>
      <c r="G31" s="11"/>
      <c r="H31" s="11">
        <f t="shared" si="2"/>
        <v>80.84024964500486</v>
      </c>
      <c r="I31" s="11">
        <f>'RD T1'!E30</f>
        <v>594.6526600790063</v>
      </c>
      <c r="J31" s="11">
        <f t="shared" si="5"/>
        <v>675.49290972401116</v>
      </c>
      <c r="L31" s="10" t="str">
        <f>name!D27</f>
        <v>82 Transport and mobile machine drivers and operatives</v>
      </c>
      <c r="M31" s="11">
        <v>988.67241243807359</v>
      </c>
      <c r="N31" s="11">
        <v>1112.3915530177214</v>
      </c>
      <c r="O31" s="11">
        <v>992.19217650976475</v>
      </c>
      <c r="P31" s="11">
        <v>1044.513156368</v>
      </c>
      <c r="Q31" s="11">
        <v>1029.9222053166914</v>
      </c>
      <c r="R31" s="11"/>
      <c r="S31" s="11">
        <f t="shared" si="3"/>
        <v>37.730028806926612</v>
      </c>
      <c r="T31" s="11">
        <f>'RD T1'!T30</f>
        <v>537.09678555013886</v>
      </c>
      <c r="U31" s="11">
        <f t="shared" si="6"/>
        <v>574.82681435706547</v>
      </c>
      <c r="W31" s="10" t="str">
        <f>name!D27</f>
        <v>82 Transport and mobile machine drivers and operatives</v>
      </c>
      <c r="X31" s="11">
        <v>65.339961617798281</v>
      </c>
      <c r="Y31" s="11">
        <v>66.435888213547102</v>
      </c>
      <c r="Z31" s="11">
        <v>62.663474124240551</v>
      </c>
      <c r="AA31" s="11">
        <v>92.400791059951658</v>
      </c>
      <c r="AB31" s="11">
        <v>105.77369496232032</v>
      </c>
      <c r="AC31" s="11"/>
      <c r="AD31" s="11">
        <f t="shared" si="4"/>
        <v>43.110220838079769</v>
      </c>
      <c r="AE31" s="11">
        <f>'RD T1'!T59</f>
        <v>57.555874528867385</v>
      </c>
      <c r="AF31" s="11">
        <f t="shared" si="7"/>
        <v>100.66609536694716</v>
      </c>
    </row>
    <row r="32" spans="1:32" x14ac:dyDescent="0.3">
      <c r="A32" s="10" t="str">
        <f>name!D28</f>
        <v>91 Elementary trades and related occupations</v>
      </c>
      <c r="B32" s="11">
        <v>475.90883310534315</v>
      </c>
      <c r="C32" s="11">
        <v>428.55047108245543</v>
      </c>
      <c r="D32" s="11">
        <v>381.35221201872946</v>
      </c>
      <c r="E32" s="11">
        <v>321.40447089613929</v>
      </c>
      <c r="F32" s="11">
        <v>305.22320056621066</v>
      </c>
      <c r="G32" s="11"/>
      <c r="H32" s="11">
        <f t="shared" si="2"/>
        <v>-76.129011452518796</v>
      </c>
      <c r="I32" s="11">
        <f>'RD T1'!E31</f>
        <v>126.13849944405538</v>
      </c>
      <c r="J32" s="11">
        <f t="shared" si="5"/>
        <v>50.009487991536588</v>
      </c>
      <c r="L32" s="10" t="str">
        <f>name!D28</f>
        <v>91 Elementary trades and related occupations</v>
      </c>
      <c r="M32" s="11">
        <v>364.33938357079484</v>
      </c>
      <c r="N32" s="11">
        <v>329.59423436194044</v>
      </c>
      <c r="O32" s="11">
        <v>301.1258194791863</v>
      </c>
      <c r="P32" s="11">
        <v>251.05990615636082</v>
      </c>
      <c r="Q32" s="11">
        <v>237.55461649335294</v>
      </c>
      <c r="R32" s="11"/>
      <c r="S32" s="11">
        <f t="shared" si="3"/>
        <v>-63.571202985833366</v>
      </c>
      <c r="T32" s="11">
        <f>'RD T1'!T31</f>
        <v>83.005104516879669</v>
      </c>
      <c r="U32" s="11">
        <f t="shared" si="6"/>
        <v>19.433901531046303</v>
      </c>
      <c r="W32" s="10" t="str">
        <f>name!D28</f>
        <v>91 Elementary trades and related occupations</v>
      </c>
      <c r="X32" s="11">
        <v>111.56944953454895</v>
      </c>
      <c r="Y32" s="11">
        <v>98.956236720515349</v>
      </c>
      <c r="Z32" s="11">
        <v>80.226392539542701</v>
      </c>
      <c r="AA32" s="11">
        <v>70.344564739778647</v>
      </c>
      <c r="AB32" s="11">
        <v>67.668584072857882</v>
      </c>
      <c r="AC32" s="11"/>
      <c r="AD32" s="11">
        <f t="shared" si="4"/>
        <v>-12.557808466684818</v>
      </c>
      <c r="AE32" s="11">
        <f>'RD T1'!T60</f>
        <v>43.133394927175743</v>
      </c>
      <c r="AF32" s="11">
        <f t="shared" si="7"/>
        <v>30.575586460490925</v>
      </c>
    </row>
    <row r="33" spans="1:32" x14ac:dyDescent="0.3">
      <c r="A33" s="10" t="str">
        <f>name!D29</f>
        <v>92 Elementary administration and service occupations</v>
      </c>
      <c r="B33" s="11">
        <v>2826.2835298888986</v>
      </c>
      <c r="C33" s="11">
        <v>2861.6919255116004</v>
      </c>
      <c r="D33" s="11">
        <v>2620.1587668920147</v>
      </c>
      <c r="E33" s="11">
        <v>2688.4065741618947</v>
      </c>
      <c r="F33" s="11">
        <v>2601.8770524398415</v>
      </c>
      <c r="G33" s="11"/>
      <c r="H33" s="11">
        <f t="shared" ref="H33" si="8">F33-D33</f>
        <v>-18.281714452173219</v>
      </c>
      <c r="I33" s="11">
        <f>'RD T1'!E32</f>
        <v>1293.9375578954944</v>
      </c>
      <c r="J33" s="11">
        <f>SUM(H33:I33)</f>
        <v>1275.6558434433211</v>
      </c>
      <c r="L33" s="10" t="str">
        <f>name!D29</f>
        <v>92 Elementary administration and service occupations</v>
      </c>
      <c r="M33" s="11">
        <v>1401.0103376941017</v>
      </c>
      <c r="N33" s="11">
        <v>1370.1224487542522</v>
      </c>
      <c r="O33" s="11">
        <v>1295.0761240716754</v>
      </c>
      <c r="P33" s="11">
        <v>1383.7810590723213</v>
      </c>
      <c r="Q33" s="11">
        <v>1330.0956427135461</v>
      </c>
      <c r="R33" s="11"/>
      <c r="S33" s="11">
        <f t="shared" ref="S33" si="9">Q33-O33</f>
        <v>35.019518641870718</v>
      </c>
      <c r="T33" s="11">
        <f>'RD T1'!T32</f>
        <v>545.62476600986633</v>
      </c>
      <c r="U33" s="11">
        <f>SUM(S33:T33)</f>
        <v>580.64428465173705</v>
      </c>
      <c r="W33" s="10" t="str">
        <f>name!D29</f>
        <v>92 Elementary administration and service occupations</v>
      </c>
      <c r="X33" s="11">
        <v>1425.2731921947943</v>
      </c>
      <c r="Y33" s="11">
        <v>1491.5694767573452</v>
      </c>
      <c r="Z33" s="11">
        <v>1325.0826428203436</v>
      </c>
      <c r="AA33" s="11">
        <v>1304.6255150895827</v>
      </c>
      <c r="AB33" s="11">
        <v>1271.7814097262924</v>
      </c>
      <c r="AC33" s="11"/>
      <c r="AD33" s="11">
        <f t="shared" ref="AD33" si="10">AB33-Z33</f>
        <v>-53.301233094051213</v>
      </c>
      <c r="AE33" s="11">
        <f>'RD T1'!T61</f>
        <v>748.31279188562814</v>
      </c>
      <c r="AF33" s="11">
        <f>SUM(AD33:AE33)</f>
        <v>695.01155879157693</v>
      </c>
    </row>
    <row r="34" spans="1:32" x14ac:dyDescent="0.3">
      <c r="H34" s="11"/>
      <c r="L34" s="10"/>
      <c r="S34" s="11"/>
      <c r="W34" s="10"/>
      <c r="AD34" s="11"/>
    </row>
    <row r="35" spans="1:32" x14ac:dyDescent="0.3">
      <c r="A35" s="231" t="str">
        <f>name!D3</f>
        <v>All occupations</v>
      </c>
      <c r="B35" s="33">
        <f>SUM(B8:B33)</f>
        <v>28656.171999997772</v>
      </c>
      <c r="C35" s="33">
        <f t="shared" ref="C35:F35" si="11">SUM(C8:C33)</f>
        <v>30212.759999993865</v>
      </c>
      <c r="D35" s="33">
        <f t="shared" si="11"/>
        <v>29859.680999995038</v>
      </c>
      <c r="E35" s="33">
        <f t="shared" si="11"/>
        <v>30754.74800001003</v>
      </c>
      <c r="F35" s="33">
        <f t="shared" si="11"/>
        <v>32070.090999998905</v>
      </c>
      <c r="G35" s="11"/>
      <c r="H35" s="33">
        <f>F35-D35</f>
        <v>2210.410000003867</v>
      </c>
      <c r="I35" s="33">
        <f>SUM(I8:I33)</f>
        <v>14988.122927048114</v>
      </c>
      <c r="J35" s="33">
        <f>SUM(J8:J33)</f>
        <v>17198.532927051991</v>
      </c>
      <c r="L35" s="231" t="str">
        <f>name!D3</f>
        <v>All occupations</v>
      </c>
      <c r="M35" s="33">
        <f>SUM(M8:M33)</f>
        <v>15097.294000001106</v>
      </c>
      <c r="N35" s="33">
        <f t="shared" ref="N35:P35" si="12">SUM(N8:N33)</f>
        <v>15791.443999999359</v>
      </c>
      <c r="O35" s="33">
        <f t="shared" si="12"/>
        <v>15479.516000000145</v>
      </c>
      <c r="P35" s="33">
        <f t="shared" si="12"/>
        <v>15910.188000001615</v>
      </c>
      <c r="Q35" s="33">
        <f>SUM(Q8:Q33)</f>
        <v>16483.507000000143</v>
      </c>
      <c r="R35" s="11"/>
      <c r="S35" s="33">
        <f>Q35-O35</f>
        <v>1003.9909999999982</v>
      </c>
      <c r="T35" s="33">
        <f>SUM(T8:T33)</f>
        <v>6500.8203760489341</v>
      </c>
      <c r="U35" s="33">
        <f>SUM(U8:U33)</f>
        <v>7504.8113760489305</v>
      </c>
      <c r="W35" s="231" t="str">
        <f>name!D3</f>
        <v>All occupations</v>
      </c>
      <c r="X35" s="33">
        <f>SUM(X8:X33)</f>
        <v>13558.877999996661</v>
      </c>
      <c r="Y35" s="33">
        <f t="shared" ref="Y35:AB35" si="13">SUM(Y8:Y33)</f>
        <v>14421.315999994516</v>
      </c>
      <c r="Z35" s="33">
        <f t="shared" si="13"/>
        <v>14380.16499999489</v>
      </c>
      <c r="AA35" s="33">
        <f t="shared" si="13"/>
        <v>14844.56000000844</v>
      </c>
      <c r="AB35" s="33">
        <f t="shared" si="13"/>
        <v>15586.583999998773</v>
      </c>
      <c r="AC35" s="11"/>
      <c r="AD35" s="33">
        <f>AB35-Z35</f>
        <v>1206.4190000038834</v>
      </c>
      <c r="AE35" s="33">
        <f>SUM(AE8:AE33)</f>
        <v>8487.3025509991821</v>
      </c>
      <c r="AF35" s="33">
        <f>SUM(AF8:AF33)</f>
        <v>9693.7215510030601</v>
      </c>
    </row>
    <row r="36" spans="1:32" x14ac:dyDescent="0.3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3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45" x14ac:dyDescent="0.4">
      <c r="A38" s="18" t="str">
        <f>CONCATENATE(A$1," (Continued)")</f>
        <v>Occupation Table 2  Employment Change by Occupation (SOC 2020) and Replacement Demand, 2015-2035, England (Continued)</v>
      </c>
      <c r="L38" s="18" t="str">
        <f>CONCATENATE(L$1," (Continued)")</f>
        <v>Occupation Table 2.1  Males: Employment Change by Occupation (SOC 2020) and Replacement Demand, 2015-2035, England (Continued)</v>
      </c>
      <c r="W38" s="18" t="str">
        <f>CONCATENATE(W$1," (Continued)")</f>
        <v>Occupation Table 2.2  Females: Employment Change by Occupation (SOC 2020) and Replacement Demand, 2015-2035, England (Continued)</v>
      </c>
    </row>
    <row r="40" spans="1:32" x14ac:dyDescent="0.3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3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3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3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3">
      <c r="G44" s="11"/>
      <c r="R44" s="11"/>
      <c r="AC44" s="11"/>
    </row>
    <row r="45" spans="1:32" x14ac:dyDescent="0.3">
      <c r="A45" t="str">
        <f t="shared" ref="A45:A70" si="19">A8</f>
        <v>11 Corporate managers and directors</v>
      </c>
      <c r="B45" s="172">
        <f t="shared" ref="B45:F54" si="20">B8/B$35*100</f>
        <v>6.6283578945122699</v>
      </c>
      <c r="C45" s="172">
        <f t="shared" si="20"/>
        <v>7.4552721299528475</v>
      </c>
      <c r="D45" s="172">
        <f t="shared" si="20"/>
        <v>7.7055852862232612</v>
      </c>
      <c r="E45" s="172">
        <f t="shared" si="20"/>
        <v>7.0354568522089407</v>
      </c>
      <c r="F45" s="172">
        <f t="shared" si="20"/>
        <v>7.3828727736048068</v>
      </c>
      <c r="H45" s="67">
        <f>IF(D8&gt;0,(H8/D8)*100,0)</f>
        <v>2.9045982254498273</v>
      </c>
      <c r="I45" s="68">
        <f t="shared" ref="I45:I70" si="21">IF(D8&gt;0,I8/D8*100,0)</f>
        <v>49.972946515630504</v>
      </c>
      <c r="J45" s="68">
        <f t="shared" ref="J45:J70" si="22">IF(D8&gt;0,(J8/D8)*100,0)</f>
        <v>52.877544741080328</v>
      </c>
      <c r="L45" t="str">
        <f t="shared" ref="L45:L70" si="23">L8</f>
        <v>11 Corporate managers and directors</v>
      </c>
      <c r="M45" s="172">
        <f t="shared" ref="M45:Q45" si="24">M8/M$35*100</f>
        <v>8.7016589857873896</v>
      </c>
      <c r="N45" s="172">
        <f t="shared" si="24"/>
        <v>9.4867198379354907</v>
      </c>
      <c r="O45" s="172">
        <f t="shared" si="24"/>
        <v>9.8080673173329664</v>
      </c>
      <c r="P45" s="172">
        <f t="shared" si="24"/>
        <v>8.678981533125226</v>
      </c>
      <c r="Q45" s="172">
        <f t="shared" si="24"/>
        <v>8.8043576778151049</v>
      </c>
      <c r="S45" s="67">
        <f t="shared" ref="S45:S70" si="25">IF(O8&gt;0,(S8/O8)*100,0)</f>
        <v>-4.4113167885904403</v>
      </c>
      <c r="T45" s="68">
        <f t="shared" ref="T45:T70" si="26">IF(O8&gt;0,T8/O8*100,0)</f>
        <v>43.704791308040363</v>
      </c>
      <c r="U45" s="68">
        <f t="shared" ref="U45:U70" si="27">IF(O8&gt;0,(U8/O8)*100,0)</f>
        <v>39.293474519449923</v>
      </c>
      <c r="W45" t="str">
        <f t="shared" ref="W45:W70" si="28">W8</f>
        <v>11 Corporate managers and directors</v>
      </c>
      <c r="X45" s="172">
        <f t="shared" ref="X45:AB45" si="29">X8/X$35*100</f>
        <v>4.3198161312844165</v>
      </c>
      <c r="Y45" s="172">
        <f t="shared" si="29"/>
        <v>5.2308223835117378</v>
      </c>
      <c r="Z45" s="172">
        <f t="shared" si="29"/>
        <v>5.442370348127108</v>
      </c>
      <c r="AA45" s="172">
        <f t="shared" si="29"/>
        <v>5.2739505053717135</v>
      </c>
      <c r="AB45" s="172">
        <f t="shared" si="29"/>
        <v>5.8795891568131609</v>
      </c>
      <c r="AD45" s="67">
        <f t="shared" ref="AD45:AD70" si="30">IF(Z8&gt;0,(AD8/Z8)*100,0)</f>
        <v>17.097052581459739</v>
      </c>
      <c r="AE45" s="68">
        <f t="shared" ref="AE45:AE70" si="31">IF(Z8&gt;0,AE8/Z8*100,0)</f>
        <v>62.132807108513063</v>
      </c>
      <c r="AF45" s="68">
        <f t="shared" ref="AF45:AF70" si="32">IF(Z8&gt;0,(AF8/Z8)*100,0)</f>
        <v>79.229859689972798</v>
      </c>
    </row>
    <row r="46" spans="1:32" x14ac:dyDescent="0.3">
      <c r="A46" t="str">
        <f t="shared" si="19"/>
        <v>12 Other managers and proprietors</v>
      </c>
      <c r="B46" s="172">
        <f t="shared" si="20"/>
        <v>3.2227658585868633</v>
      </c>
      <c r="C46" s="172">
        <f t="shared" si="20"/>
        <v>3.2745906935361537</v>
      </c>
      <c r="D46" s="172">
        <f t="shared" si="20"/>
        <v>3.3392851027240349</v>
      </c>
      <c r="E46" s="172">
        <f t="shared" si="20"/>
        <v>4.0251703163246226</v>
      </c>
      <c r="F46" s="172">
        <f t="shared" si="20"/>
        <v>4.4573234571442253</v>
      </c>
      <c r="H46" s="67">
        <f t="shared" ref="H46:H70" si="33">IF(D9&gt;0,(H9/D9)*100,0)</f>
        <v>43.36253754206907</v>
      </c>
      <c r="I46" s="68">
        <f t="shared" si="21"/>
        <v>72.342270795961767</v>
      </c>
      <c r="J46" s="68">
        <f t="shared" si="22"/>
        <v>115.70480833803083</v>
      </c>
      <c r="L46" t="str">
        <f t="shared" si="23"/>
        <v>12 Other managers and proprietors</v>
      </c>
      <c r="M46" s="172">
        <f t="shared" ref="M46:Q46" si="34">M9/M$35*100</f>
        <v>3.70979850753054</v>
      </c>
      <c r="N46" s="172">
        <f t="shared" si="34"/>
        <v>3.7536666787325443</v>
      </c>
      <c r="O46" s="172">
        <f t="shared" si="34"/>
        <v>3.7538288759917147</v>
      </c>
      <c r="P46" s="172">
        <f t="shared" si="34"/>
        <v>4.6572604466476619</v>
      </c>
      <c r="Q46" s="172">
        <f t="shared" si="34"/>
        <v>5.1558547702893334</v>
      </c>
      <c r="S46" s="67">
        <f t="shared" si="25"/>
        <v>46.257600585618199</v>
      </c>
      <c r="T46" s="68">
        <f t="shared" si="26"/>
        <v>66.668720260898155</v>
      </c>
      <c r="U46" s="68">
        <f t="shared" si="27"/>
        <v>112.92632084651635</v>
      </c>
      <c r="W46" t="str">
        <f t="shared" si="28"/>
        <v>12 Other managers and proprietors</v>
      </c>
      <c r="X46" s="172">
        <f t="shared" ref="X46:AB46" si="35">X9/X$35*100</f>
        <v>2.6804735620779967</v>
      </c>
      <c r="Y46" s="172">
        <f t="shared" si="35"/>
        <v>2.7499990687512703</v>
      </c>
      <c r="Z46" s="172">
        <f t="shared" si="35"/>
        <v>2.8930498216268088</v>
      </c>
      <c r="AA46" s="172">
        <f t="shared" si="35"/>
        <v>3.3477051165221607</v>
      </c>
      <c r="AB46" s="172">
        <f t="shared" si="35"/>
        <v>3.7185954722344143</v>
      </c>
      <c r="AD46" s="67">
        <f t="shared" si="30"/>
        <v>39.318919816459406</v>
      </c>
      <c r="AE46" s="68">
        <f t="shared" si="31"/>
        <v>80.26668182453696</v>
      </c>
      <c r="AF46" s="68">
        <f t="shared" si="32"/>
        <v>119.58560164099636</v>
      </c>
    </row>
    <row r="47" spans="1:32" x14ac:dyDescent="0.3">
      <c r="A47" t="str">
        <f t="shared" si="19"/>
        <v>21 Science, research, engineering and technology professionals</v>
      </c>
      <c r="B47" s="172">
        <f t="shared" si="20"/>
        <v>5.5313734754162898</v>
      </c>
      <c r="C47" s="172">
        <f t="shared" si="20"/>
        <v>6.0380792514089592</v>
      </c>
      <c r="D47" s="172">
        <f t="shared" si="20"/>
        <v>6.359739124825964</v>
      </c>
      <c r="E47" s="172">
        <f t="shared" si="20"/>
        <v>6.5701521319038756</v>
      </c>
      <c r="F47" s="172">
        <f t="shared" si="20"/>
        <v>6.9891699981896291</v>
      </c>
      <c r="H47" s="67">
        <f t="shared" si="33"/>
        <v>18.032425352748955</v>
      </c>
      <c r="I47" s="68">
        <f t="shared" si="21"/>
        <v>41.205712812620973</v>
      </c>
      <c r="J47" s="68">
        <f t="shared" si="22"/>
        <v>59.238138165369925</v>
      </c>
      <c r="L47" t="str">
        <f t="shared" si="23"/>
        <v>21 Science, research, engineering and technology professionals</v>
      </c>
      <c r="M47" s="172">
        <f t="shared" ref="M47:Q47" si="36">M10/M$35*100</f>
        <v>8.3443038605548185</v>
      </c>
      <c r="N47" s="172">
        <f t="shared" si="36"/>
        <v>9.2680206184790723</v>
      </c>
      <c r="O47" s="172">
        <f t="shared" si="36"/>
        <v>9.4166493334821357</v>
      </c>
      <c r="P47" s="172">
        <f t="shared" si="36"/>
        <v>9.4190161296963648</v>
      </c>
      <c r="Q47" s="172">
        <f t="shared" si="36"/>
        <v>9.8222404575770828</v>
      </c>
      <c r="S47" s="67">
        <f t="shared" si="25"/>
        <v>11.072463242467359</v>
      </c>
      <c r="T47" s="68">
        <f t="shared" si="26"/>
        <v>34.526080705186921</v>
      </c>
      <c r="U47" s="68">
        <f t="shared" si="27"/>
        <v>45.598543947654278</v>
      </c>
      <c r="W47" t="str">
        <f t="shared" si="28"/>
        <v>21 Science, research, engineering and technology professionals</v>
      </c>
      <c r="X47" s="172">
        <f t="shared" ref="X47:AB47" si="37">X10/X$35*100</f>
        <v>2.3992826766066093</v>
      </c>
      <c r="Y47" s="172">
        <f t="shared" si="37"/>
        <v>2.5012703900409625</v>
      </c>
      <c r="Z47" s="172">
        <f t="shared" si="37"/>
        <v>3.0691308122319549</v>
      </c>
      <c r="AA47" s="172">
        <f t="shared" si="37"/>
        <v>3.5167802710141576</v>
      </c>
      <c r="AB47" s="172">
        <f t="shared" si="37"/>
        <v>3.9930717672487992</v>
      </c>
      <c r="AD47" s="67">
        <f t="shared" si="30"/>
        <v>41.019376998731801</v>
      </c>
      <c r="AE47" s="68">
        <f t="shared" si="31"/>
        <v>63.266807087792998</v>
      </c>
      <c r="AF47" s="68">
        <f t="shared" si="32"/>
        <v>104.2861840865248</v>
      </c>
    </row>
    <row r="48" spans="1:32" x14ac:dyDescent="0.3">
      <c r="A48" t="str">
        <f t="shared" si="19"/>
        <v>22 Health professionals</v>
      </c>
      <c r="B48" s="172">
        <f t="shared" si="20"/>
        <v>4.0809457043351678</v>
      </c>
      <c r="C48" s="172">
        <f t="shared" si="20"/>
        <v>4.4837235795568962</v>
      </c>
      <c r="D48" s="172">
        <f t="shared" si="20"/>
        <v>4.5336652700870506</v>
      </c>
      <c r="E48" s="172">
        <f t="shared" si="20"/>
        <v>4.7471278105163579</v>
      </c>
      <c r="F48" s="172">
        <f t="shared" si="20"/>
        <v>4.9530084924250293</v>
      </c>
      <c r="H48" s="67">
        <f t="shared" si="33"/>
        <v>17.336910518306826</v>
      </c>
      <c r="I48" s="68">
        <f t="shared" si="21"/>
        <v>58.408766512408349</v>
      </c>
      <c r="J48" s="68">
        <f t="shared" si="22"/>
        <v>75.745677030715171</v>
      </c>
      <c r="L48" t="str">
        <f t="shared" si="23"/>
        <v>22 Health professionals</v>
      </c>
      <c r="M48" s="172">
        <f t="shared" ref="M48:Q48" si="38">M11/M$35*100</f>
        <v>1.9237676857227837</v>
      </c>
      <c r="N48" s="172">
        <f t="shared" si="38"/>
        <v>2.1125171654461066</v>
      </c>
      <c r="O48" s="172">
        <f t="shared" si="38"/>
        <v>2.3416042572926421</v>
      </c>
      <c r="P48" s="172">
        <f t="shared" si="38"/>
        <v>2.4343371837728633</v>
      </c>
      <c r="Q48" s="172">
        <f t="shared" si="38"/>
        <v>2.5512163661032283</v>
      </c>
      <c r="S48" s="67">
        <f t="shared" si="25"/>
        <v>16.018175821976079</v>
      </c>
      <c r="T48" s="68">
        <f t="shared" si="26"/>
        <v>41.511729145342251</v>
      </c>
      <c r="U48" s="68">
        <f t="shared" si="27"/>
        <v>57.529904967318338</v>
      </c>
      <c r="W48" t="str">
        <f t="shared" si="28"/>
        <v>22 Health professionals</v>
      </c>
      <c r="X48" s="172">
        <f t="shared" ref="X48:AB48" si="39">X11/X$35*100</f>
        <v>6.4828812300725538</v>
      </c>
      <c r="Y48" s="172">
        <f t="shared" si="39"/>
        <v>7.0802115353637047</v>
      </c>
      <c r="Z48" s="172">
        <f t="shared" si="39"/>
        <v>6.8933074244391923</v>
      </c>
      <c r="AA48" s="172">
        <f t="shared" si="39"/>
        <v>7.2259438667759772</v>
      </c>
      <c r="AB48" s="172">
        <f t="shared" si="39"/>
        <v>7.4930106716564486</v>
      </c>
      <c r="AD48" s="67">
        <f t="shared" si="30"/>
        <v>17.819121162431934</v>
      </c>
      <c r="AE48" s="68">
        <f t="shared" si="31"/>
        <v>64.587364296514778</v>
      </c>
      <c r="AF48" s="68">
        <f t="shared" si="32"/>
        <v>82.406485458946719</v>
      </c>
    </row>
    <row r="49" spans="1:32" x14ac:dyDescent="0.3">
      <c r="A49" t="str">
        <f t="shared" si="19"/>
        <v>23 Teaching and other educational professionals</v>
      </c>
      <c r="B49" s="172">
        <f t="shared" si="20"/>
        <v>4.7520275393351383</v>
      </c>
      <c r="C49" s="172">
        <f t="shared" si="20"/>
        <v>4.7702991468471891</v>
      </c>
      <c r="D49" s="172">
        <f t="shared" si="20"/>
        <v>5.0251867973518474</v>
      </c>
      <c r="E49" s="172">
        <f t="shared" si="20"/>
        <v>5.078151687006387</v>
      </c>
      <c r="F49" s="172">
        <f t="shared" si="20"/>
        <v>5.29883025736632</v>
      </c>
      <c r="H49" s="67">
        <f t="shared" si="33"/>
        <v>13.25120353546324</v>
      </c>
      <c r="I49" s="68">
        <f t="shared" si="21"/>
        <v>54.271705766003365</v>
      </c>
      <c r="J49" s="68">
        <f t="shared" si="22"/>
        <v>67.522909301466598</v>
      </c>
      <c r="L49" t="str">
        <f t="shared" si="23"/>
        <v>23 Teaching and other educational professionals</v>
      </c>
      <c r="M49" s="172">
        <f t="shared" ref="M49:Q49" si="40">M12/M$35*100</f>
        <v>3.0807493332385807</v>
      </c>
      <c r="N49" s="172">
        <f t="shared" si="40"/>
        <v>2.93356836144185</v>
      </c>
      <c r="O49" s="172">
        <f t="shared" si="40"/>
        <v>3.1568291126860242</v>
      </c>
      <c r="P49" s="172">
        <f t="shared" si="40"/>
        <v>3.3063860075750879</v>
      </c>
      <c r="Q49" s="172">
        <f t="shared" si="40"/>
        <v>3.4264336707463485</v>
      </c>
      <c r="S49" s="67">
        <f t="shared" si="25"/>
        <v>15.58021434172549</v>
      </c>
      <c r="T49" s="68">
        <f t="shared" si="26"/>
        <v>46.643890517478646</v>
      </c>
      <c r="U49" s="68">
        <f t="shared" si="27"/>
        <v>62.224104859204132</v>
      </c>
      <c r="W49" t="str">
        <f t="shared" si="28"/>
        <v>23 Teaching and other educational professionals</v>
      </c>
      <c r="X49" s="172">
        <f t="shared" ref="X49:AB49" si="41">X12/X$35*100</f>
        <v>6.6129321387599447</v>
      </c>
      <c r="Y49" s="172">
        <f t="shared" si="41"/>
        <v>6.781532472627906</v>
      </c>
      <c r="Z49" s="172">
        <f t="shared" si="41"/>
        <v>7.0363787880917368</v>
      </c>
      <c r="AA49" s="172">
        <f t="shared" si="41"/>
        <v>6.9771049097146838</v>
      </c>
      <c r="AB49" s="172">
        <f t="shared" si="41"/>
        <v>7.2789730675118181</v>
      </c>
      <c r="AD49" s="67">
        <f t="shared" si="30"/>
        <v>12.126425377705855</v>
      </c>
      <c r="AE49" s="68">
        <f t="shared" si="31"/>
        <v>57.955501461531846</v>
      </c>
      <c r="AF49" s="68">
        <f t="shared" si="32"/>
        <v>70.081926839237696</v>
      </c>
    </row>
    <row r="50" spans="1:32" x14ac:dyDescent="0.3">
      <c r="A50" t="str">
        <f t="shared" si="19"/>
        <v>24 Business, media and public service professionals</v>
      </c>
      <c r="B50" s="172">
        <f t="shared" si="20"/>
        <v>6.2708022535103529</v>
      </c>
      <c r="C50" s="172">
        <f t="shared" si="20"/>
        <v>7.0367935420489314</v>
      </c>
      <c r="D50" s="172">
        <f t="shared" si="20"/>
        <v>7.6680909520538538</v>
      </c>
      <c r="E50" s="172">
        <f t="shared" si="20"/>
        <v>8.3742080510897292</v>
      </c>
      <c r="F50" s="172">
        <f t="shared" si="20"/>
        <v>8.9911708533625063</v>
      </c>
      <c r="H50" s="67">
        <f t="shared" si="33"/>
        <v>25.934297373969329</v>
      </c>
      <c r="I50" s="68">
        <f t="shared" si="21"/>
        <v>55.296055410295352</v>
      </c>
      <c r="J50" s="68">
        <f t="shared" si="22"/>
        <v>81.230352784264682</v>
      </c>
      <c r="L50" t="str">
        <f t="shared" si="23"/>
        <v>24 Business, media and public service professionals</v>
      </c>
      <c r="M50" s="172">
        <f t="shared" ref="M50:Q50" si="42">M13/M$35*100</f>
        <v>7.0017746840137685</v>
      </c>
      <c r="N50" s="172">
        <f t="shared" si="42"/>
        <v>7.6252856166838416</v>
      </c>
      <c r="O50" s="172">
        <f t="shared" si="42"/>
        <v>8.2011447480024202</v>
      </c>
      <c r="P50" s="172">
        <f t="shared" si="42"/>
        <v>9.0108429898563749</v>
      </c>
      <c r="Q50" s="172">
        <f t="shared" si="42"/>
        <v>9.4843860312053145</v>
      </c>
      <c r="S50" s="67">
        <f t="shared" si="25"/>
        <v>23.147892673842861</v>
      </c>
      <c r="T50" s="68">
        <f t="shared" si="26"/>
        <v>48.538916134157198</v>
      </c>
      <c r="U50" s="68">
        <f t="shared" si="27"/>
        <v>71.686808808000052</v>
      </c>
      <c r="W50" t="str">
        <f t="shared" si="28"/>
        <v>24 Business, media and public service professionals</v>
      </c>
      <c r="X50" s="172">
        <f t="shared" ref="X50:AB50" si="43">X13/X$35*100</f>
        <v>5.4568923054152583</v>
      </c>
      <c r="Y50" s="172">
        <f t="shared" si="43"/>
        <v>6.3923905180084004</v>
      </c>
      <c r="Z50" s="172">
        <f t="shared" si="43"/>
        <v>7.094285660998481</v>
      </c>
      <c r="AA50" s="172">
        <f t="shared" si="43"/>
        <v>7.6918717903220166</v>
      </c>
      <c r="AB50" s="172">
        <f t="shared" si="43"/>
        <v>8.4695738288650695</v>
      </c>
      <c r="AD50" s="67">
        <f t="shared" si="30"/>
        <v>29.401693881475794</v>
      </c>
      <c r="AE50" s="68">
        <f t="shared" si="31"/>
        <v>63.704626184582793</v>
      </c>
      <c r="AF50" s="68">
        <f t="shared" si="32"/>
        <v>93.106320066058586</v>
      </c>
    </row>
    <row r="51" spans="1:32" x14ac:dyDescent="0.3">
      <c r="A51" t="str">
        <f t="shared" si="19"/>
        <v>31 Science, engineering and technology associate professionals</v>
      </c>
      <c r="B51" s="172">
        <f t="shared" si="20"/>
        <v>1.6166944514141319</v>
      </c>
      <c r="C51" s="172">
        <f t="shared" si="20"/>
        <v>1.8066095465951595</v>
      </c>
      <c r="D51" s="172">
        <f t="shared" si="20"/>
        <v>1.9816490692841213</v>
      </c>
      <c r="E51" s="172">
        <f t="shared" si="20"/>
        <v>1.7048312543647373</v>
      </c>
      <c r="F51" s="172">
        <f t="shared" si="20"/>
        <v>1.7505559294773463</v>
      </c>
      <c r="H51" s="67">
        <f t="shared" si="33"/>
        <v>-5.1222729893418188</v>
      </c>
      <c r="I51" s="68">
        <f t="shared" si="21"/>
        <v>37.703808026256098</v>
      </c>
      <c r="J51" s="68">
        <f t="shared" si="22"/>
        <v>32.581535036914275</v>
      </c>
      <c r="L51" t="str">
        <f t="shared" si="23"/>
        <v>31 Science, engineering and technology associate professionals</v>
      </c>
      <c r="M51" s="172">
        <f t="shared" ref="M51:Q51" si="44">M14/M$35*100</f>
        <v>2.2210352635796857</v>
      </c>
      <c r="N51" s="172">
        <f t="shared" si="44"/>
        <v>2.5932561631530131</v>
      </c>
      <c r="O51" s="172">
        <f t="shared" si="44"/>
        <v>2.7484934241204431</v>
      </c>
      <c r="P51" s="172">
        <f t="shared" si="44"/>
        <v>2.207660534540564</v>
      </c>
      <c r="Q51" s="172">
        <f t="shared" si="44"/>
        <v>2.1675700867719283</v>
      </c>
      <c r="S51" s="67">
        <f t="shared" si="25"/>
        <v>-16.021002453087277</v>
      </c>
      <c r="T51" s="68">
        <f t="shared" si="26"/>
        <v>30.819238887654404</v>
      </c>
      <c r="U51" s="68">
        <f t="shared" si="27"/>
        <v>14.798236434567128</v>
      </c>
      <c r="W51" t="str">
        <f t="shared" si="28"/>
        <v>31 Science, engineering and technology associate professionals</v>
      </c>
      <c r="X51" s="172">
        <f t="shared" ref="X51:AB51" si="45">X14/X$35*100</f>
        <v>0.94378398511559369</v>
      </c>
      <c r="Y51" s="172">
        <f t="shared" si="45"/>
        <v>0.94522588416330566</v>
      </c>
      <c r="Z51" s="172">
        <f t="shared" si="45"/>
        <v>1.1561801361944977</v>
      </c>
      <c r="AA51" s="172">
        <f t="shared" si="45"/>
        <v>1.1659059928885835</v>
      </c>
      <c r="AB51" s="172">
        <f t="shared" si="45"/>
        <v>1.3095448791493898</v>
      </c>
      <c r="AD51" s="67">
        <f t="shared" si="30"/>
        <v>22.767088989092805</v>
      </c>
      <c r="AE51" s="68">
        <f t="shared" si="31"/>
        <v>55.321112998430124</v>
      </c>
      <c r="AF51" s="68">
        <f t="shared" si="32"/>
        <v>78.088201987522936</v>
      </c>
    </row>
    <row r="52" spans="1:32" x14ac:dyDescent="0.3">
      <c r="A52" t="str">
        <f t="shared" si="19"/>
        <v>32 Health and social care associate professionals</v>
      </c>
      <c r="B52" s="172">
        <f t="shared" si="20"/>
        <v>1.7204043159766707</v>
      </c>
      <c r="C52" s="172">
        <f t="shared" si="20"/>
        <v>1.8396991809347798</v>
      </c>
      <c r="D52" s="172">
        <f t="shared" si="20"/>
        <v>1.904787253199606</v>
      </c>
      <c r="E52" s="172">
        <f t="shared" si="20"/>
        <v>1.8768691049365276</v>
      </c>
      <c r="F52" s="172">
        <f t="shared" si="20"/>
        <v>1.970758840633454</v>
      </c>
      <c r="H52" s="67">
        <f t="shared" si="33"/>
        <v>11.122508291142919</v>
      </c>
      <c r="I52" s="68">
        <f t="shared" si="21"/>
        <v>59.692277985209287</v>
      </c>
      <c r="J52" s="68">
        <f t="shared" si="22"/>
        <v>70.814786276352208</v>
      </c>
      <c r="L52" t="str">
        <f t="shared" si="23"/>
        <v>32 Health and social care associate professionals</v>
      </c>
      <c r="M52" s="172">
        <f t="shared" ref="M52:Q52" si="46">M15/M$35*100</f>
        <v>0.75835939229635407</v>
      </c>
      <c r="N52" s="172">
        <f t="shared" si="46"/>
        <v>0.75093646131622671</v>
      </c>
      <c r="O52" s="172">
        <f t="shared" si="46"/>
        <v>0.83908393305504414</v>
      </c>
      <c r="P52" s="172">
        <f t="shared" si="46"/>
        <v>0.74711908035694197</v>
      </c>
      <c r="Q52" s="172">
        <f t="shared" si="46"/>
        <v>0.76396222695526284</v>
      </c>
      <c r="S52" s="67">
        <f t="shared" si="25"/>
        <v>-3.0475651728503137</v>
      </c>
      <c r="T52" s="68">
        <f t="shared" si="26"/>
        <v>44.588477144423813</v>
      </c>
      <c r="U52" s="68">
        <f t="shared" si="27"/>
        <v>41.540911971573493</v>
      </c>
      <c r="W52" t="str">
        <f t="shared" si="28"/>
        <v>32 Health and social care associate professionals</v>
      </c>
      <c r="X52" s="172">
        <f t="shared" ref="X52:AB52" si="47">X15/X$35*100</f>
        <v>2.7916046803441277</v>
      </c>
      <c r="Y52" s="172">
        <f t="shared" si="47"/>
        <v>3.0319021335744618</v>
      </c>
      <c r="Z52" s="172">
        <f t="shared" si="47"/>
        <v>3.0519626573369636</v>
      </c>
      <c r="AA52" s="172">
        <f t="shared" si="47"/>
        <v>3.0877190920063629</v>
      </c>
      <c r="AB52" s="172">
        <f t="shared" si="47"/>
        <v>3.247000025304994</v>
      </c>
      <c r="AD52" s="67">
        <f t="shared" si="30"/>
        <v>15.316154603870471</v>
      </c>
      <c r="AE52" s="68">
        <f t="shared" si="31"/>
        <v>64.162261776407092</v>
      </c>
      <c r="AF52" s="68">
        <f t="shared" si="32"/>
        <v>79.478416380277565</v>
      </c>
    </row>
    <row r="53" spans="1:32" x14ac:dyDescent="0.3">
      <c r="A53" t="str">
        <f t="shared" si="19"/>
        <v>33 Protective service occupations</v>
      </c>
      <c r="B53" s="172">
        <f t="shared" si="20"/>
        <v>1.0278183082030363</v>
      </c>
      <c r="C53" s="172">
        <f t="shared" si="20"/>
        <v>1.0023505944719495</v>
      </c>
      <c r="D53" s="172">
        <f t="shared" si="20"/>
        <v>1.0773549063097756</v>
      </c>
      <c r="E53" s="172">
        <f t="shared" si="20"/>
        <v>1.2479374778529679</v>
      </c>
      <c r="F53" s="172">
        <f t="shared" si="20"/>
        <v>1.3786887138206745</v>
      </c>
      <c r="H53" s="67">
        <f t="shared" si="33"/>
        <v>37.442945917582712</v>
      </c>
      <c r="I53" s="68">
        <f t="shared" si="21"/>
        <v>42.547367656646202</v>
      </c>
      <c r="J53" s="68">
        <f t="shared" si="22"/>
        <v>79.990313574228907</v>
      </c>
      <c r="L53" t="str">
        <f t="shared" si="23"/>
        <v>33 Protective service occupations</v>
      </c>
      <c r="M53" s="172">
        <f t="shared" ref="M53:Q53" si="48">M16/M$35*100</f>
        <v>1.5215934601220247</v>
      </c>
      <c r="N53" s="172">
        <f t="shared" si="48"/>
        <v>1.4578142305616637</v>
      </c>
      <c r="O53" s="172">
        <f t="shared" si="48"/>
        <v>1.5505105779925143</v>
      </c>
      <c r="P53" s="172">
        <f t="shared" si="48"/>
        <v>1.7255646500082593</v>
      </c>
      <c r="Q53" s="172">
        <f t="shared" si="48"/>
        <v>1.8042161548510121</v>
      </c>
      <c r="S53" s="67">
        <f t="shared" si="25"/>
        <v>23.909919019376794</v>
      </c>
      <c r="T53" s="68">
        <f t="shared" si="26"/>
        <v>32.865126726369567</v>
      </c>
      <c r="U53" s="68">
        <f t="shared" si="27"/>
        <v>56.775045745746368</v>
      </c>
      <c r="W53" t="str">
        <f t="shared" si="28"/>
        <v>33 Protective service occupations</v>
      </c>
      <c r="X53" s="172">
        <f t="shared" ref="X53:AB53" si="49">X16/X$35*100</f>
        <v>0.47801849155020576</v>
      </c>
      <c r="Y53" s="172">
        <f t="shared" si="49"/>
        <v>0.50361466057040039</v>
      </c>
      <c r="Z53" s="172">
        <f t="shared" si="49"/>
        <v>0.56802689857785449</v>
      </c>
      <c r="AA53" s="172">
        <f t="shared" si="49"/>
        <v>0.73602347683876501</v>
      </c>
      <c r="AB53" s="172">
        <f t="shared" si="49"/>
        <v>0.92867448665478092</v>
      </c>
      <c r="AD53" s="67">
        <f t="shared" si="30"/>
        <v>77.207332264365959</v>
      </c>
      <c r="AE53" s="68">
        <f t="shared" si="31"/>
        <v>70.996906104338535</v>
      </c>
      <c r="AF53" s="68">
        <f t="shared" si="32"/>
        <v>148.20423836870452</v>
      </c>
    </row>
    <row r="54" spans="1:32" x14ac:dyDescent="0.3">
      <c r="A54" t="str">
        <f t="shared" si="19"/>
        <v>34 Culture, media and sports occupations</v>
      </c>
      <c r="B54" s="172">
        <f t="shared" si="20"/>
        <v>2.1893009690282614</v>
      </c>
      <c r="C54" s="172">
        <f t="shared" si="20"/>
        <v>2.0765342209097861</v>
      </c>
      <c r="D54" s="172">
        <f t="shared" si="20"/>
        <v>2.2728805800631475</v>
      </c>
      <c r="E54" s="172">
        <f t="shared" si="20"/>
        <v>2.1905578233432017</v>
      </c>
      <c r="F54" s="172">
        <f t="shared" si="20"/>
        <v>2.327556794316715</v>
      </c>
      <c r="H54" s="67">
        <f t="shared" si="33"/>
        <v>9.9863266231441123</v>
      </c>
      <c r="I54" s="68">
        <f t="shared" si="21"/>
        <v>48.022104039284521</v>
      </c>
      <c r="J54" s="68">
        <f t="shared" si="22"/>
        <v>58.008430662428637</v>
      </c>
      <c r="L54" t="str">
        <f t="shared" si="23"/>
        <v>34 Culture, media and sports occupations</v>
      </c>
      <c r="M54" s="172">
        <f t="shared" ref="M54:Q54" si="50">M17/M$35*100</f>
        <v>2.3006846346821281</v>
      </c>
      <c r="N54" s="172">
        <f t="shared" si="50"/>
        <v>2.1594376117118084</v>
      </c>
      <c r="O54" s="172">
        <f t="shared" si="50"/>
        <v>2.2601850981688325</v>
      </c>
      <c r="P54" s="172">
        <f t="shared" si="50"/>
        <v>2.1990481340294203</v>
      </c>
      <c r="Q54" s="172">
        <f t="shared" si="50"/>
        <v>2.3452520004202406</v>
      </c>
      <c r="S54" s="67">
        <f t="shared" si="25"/>
        <v>10.493758690134026</v>
      </c>
      <c r="T54" s="68">
        <f t="shared" si="26"/>
        <v>41.670374610068137</v>
      </c>
      <c r="U54" s="68">
        <f t="shared" si="27"/>
        <v>52.164133300202167</v>
      </c>
      <c r="W54" t="str">
        <f t="shared" si="28"/>
        <v>34 Culture, media and sports occupations</v>
      </c>
      <c r="X54" s="172">
        <f t="shared" ref="X54:AB54" si="51">X17/X$35*100</f>
        <v>2.0652795015311294</v>
      </c>
      <c r="Y54" s="172">
        <f t="shared" si="51"/>
        <v>1.9857544159834779</v>
      </c>
      <c r="Z54" s="172">
        <f t="shared" si="51"/>
        <v>2.2865466204118428</v>
      </c>
      <c r="AA54" s="172">
        <f t="shared" si="51"/>
        <v>2.1814580292640215</v>
      </c>
      <c r="AB54" s="172">
        <f t="shared" si="51"/>
        <v>2.3088433254980099</v>
      </c>
      <c r="AD54" s="67">
        <f t="shared" si="30"/>
        <v>9.4463992278921918</v>
      </c>
      <c r="AE54" s="68">
        <f t="shared" si="31"/>
        <v>54.780590443978838</v>
      </c>
      <c r="AF54" s="68">
        <f t="shared" si="32"/>
        <v>64.226989671871024</v>
      </c>
    </row>
    <row r="55" spans="1:32" x14ac:dyDescent="0.3">
      <c r="A55" t="str">
        <f t="shared" si="19"/>
        <v>35 Business and public service associate professionals</v>
      </c>
      <c r="B55" s="172">
        <f t="shared" ref="B55:F64" si="52">B18/B$35*100</f>
        <v>6.2635402497794912</v>
      </c>
      <c r="C55" s="172">
        <f t="shared" si="52"/>
        <v>6.4026699914587857</v>
      </c>
      <c r="D55" s="172">
        <f t="shared" si="52"/>
        <v>6.6694567182802116</v>
      </c>
      <c r="E55" s="172">
        <f t="shared" si="52"/>
        <v>6.2629901309959806</v>
      </c>
      <c r="F55" s="172">
        <f t="shared" si="52"/>
        <v>6.27330879370568</v>
      </c>
      <c r="H55" s="67">
        <f t="shared" si="33"/>
        <v>1.0232266296575612</v>
      </c>
      <c r="I55" s="68">
        <f t="shared" si="21"/>
        <v>45.466491561669386</v>
      </c>
      <c r="J55" s="68">
        <f t="shared" si="22"/>
        <v>46.489718191326951</v>
      </c>
      <c r="L55" t="str">
        <f t="shared" si="23"/>
        <v>35 Business and public service associate professionals</v>
      </c>
      <c r="M55" s="172">
        <f t="shared" ref="M55:Q55" si="53">M18/M$35*100</f>
        <v>6.3982272106236913</v>
      </c>
      <c r="N55" s="172">
        <f t="shared" si="53"/>
        <v>6.4493600630110564</v>
      </c>
      <c r="O55" s="172">
        <f t="shared" si="53"/>
        <v>6.7988878205301484</v>
      </c>
      <c r="P55" s="172">
        <f t="shared" si="53"/>
        <v>6.193222165418816</v>
      </c>
      <c r="Q55" s="172">
        <f t="shared" si="53"/>
        <v>5.986428905576477</v>
      </c>
      <c r="S55" s="67">
        <f t="shared" si="25"/>
        <v>-6.2390080900309206</v>
      </c>
      <c r="T55" s="68">
        <f t="shared" si="26"/>
        <v>36.529905197050773</v>
      </c>
      <c r="U55" s="68">
        <f t="shared" si="27"/>
        <v>30.290897107019855</v>
      </c>
      <c r="W55" t="str">
        <f t="shared" si="28"/>
        <v>35 Business and public service associate professionals</v>
      </c>
      <c r="X55" s="172">
        <f t="shared" ref="X55:AB55" si="54">X18/X$35*100</f>
        <v>6.1135714510461137</v>
      </c>
      <c r="Y55" s="172">
        <f t="shared" si="54"/>
        <v>6.3515440297036649</v>
      </c>
      <c r="Z55" s="172">
        <f t="shared" si="54"/>
        <v>6.5301307217999041</v>
      </c>
      <c r="AA55" s="172">
        <f t="shared" si="54"/>
        <v>6.3377664429048579</v>
      </c>
      <c r="AB55" s="172">
        <f t="shared" si="54"/>
        <v>6.5766970565949405</v>
      </c>
      <c r="AD55" s="67">
        <f t="shared" si="30"/>
        <v>9.1623904534526428</v>
      </c>
      <c r="AE55" s="68">
        <f t="shared" si="31"/>
        <v>55.482188279640773</v>
      </c>
      <c r="AF55" s="68">
        <f t="shared" si="32"/>
        <v>64.644578733093425</v>
      </c>
    </row>
    <row r="56" spans="1:32" x14ac:dyDescent="0.3">
      <c r="A56" t="str">
        <f t="shared" si="19"/>
        <v>41 Administrative occupations</v>
      </c>
      <c r="B56" s="172">
        <f t="shared" si="52"/>
        <v>8.7566111389218193</v>
      </c>
      <c r="C56" s="172">
        <f t="shared" si="52"/>
        <v>8.1839340738481443</v>
      </c>
      <c r="D56" s="172">
        <f t="shared" si="52"/>
        <v>8.6216396344767841</v>
      </c>
      <c r="E56" s="172">
        <f t="shared" si="52"/>
        <v>7.7135854836225297</v>
      </c>
      <c r="F56" s="172">
        <f t="shared" si="52"/>
        <v>7.00545304545179</v>
      </c>
      <c r="H56" s="67">
        <f t="shared" si="33"/>
        <v>-12.730720841311674</v>
      </c>
      <c r="I56" s="68">
        <f t="shared" si="21"/>
        <v>45.498206227984319</v>
      </c>
      <c r="J56" s="68">
        <f t="shared" si="22"/>
        <v>32.767485386672647</v>
      </c>
      <c r="L56" t="str">
        <f t="shared" si="23"/>
        <v>41 Administrative occupations</v>
      </c>
      <c r="M56" s="172">
        <f t="shared" ref="M56:Q56" si="55">M19/M$35*100</f>
        <v>4.8209737080817439</v>
      </c>
      <c r="N56" s="172">
        <f t="shared" si="55"/>
        <v>4.4002239248516579</v>
      </c>
      <c r="O56" s="172">
        <f t="shared" si="55"/>
        <v>5.3087646849553414</v>
      </c>
      <c r="P56" s="172">
        <f t="shared" si="55"/>
        <v>4.9192580477244006</v>
      </c>
      <c r="Q56" s="172">
        <f t="shared" si="55"/>
        <v>5.1292159808186648</v>
      </c>
      <c r="S56" s="67">
        <f t="shared" si="25"/>
        <v>2.8844525007713382</v>
      </c>
      <c r="T56" s="68">
        <f t="shared" si="26"/>
        <v>36.714424937891074</v>
      </c>
      <c r="U56" s="68">
        <f t="shared" si="27"/>
        <v>39.598877438662413</v>
      </c>
      <c r="W56" t="str">
        <f t="shared" si="28"/>
        <v>41 Administrative occupations</v>
      </c>
      <c r="X56" s="172">
        <f t="shared" ref="X56:AB56" si="56">X19/X$35*100</f>
        <v>13.138793453034816</v>
      </c>
      <c r="Y56" s="172">
        <f t="shared" si="56"/>
        <v>12.327123705788077</v>
      </c>
      <c r="Z56" s="172">
        <f t="shared" si="56"/>
        <v>12.187780967843571</v>
      </c>
      <c r="AA56" s="172">
        <f t="shared" si="56"/>
        <v>10.708505834153378</v>
      </c>
      <c r="AB56" s="172">
        <f t="shared" si="56"/>
        <v>8.9896573321987905</v>
      </c>
      <c r="AD56" s="67">
        <f t="shared" si="30"/>
        <v>-20.05237401363981</v>
      </c>
      <c r="AE56" s="68">
        <f t="shared" si="31"/>
        <v>49.616751615779243</v>
      </c>
      <c r="AF56" s="68">
        <f t="shared" si="32"/>
        <v>29.564377602139437</v>
      </c>
    </row>
    <row r="57" spans="1:32" x14ac:dyDescent="0.3">
      <c r="A57" t="str">
        <f t="shared" si="19"/>
        <v>42 Secretarial and related occupations</v>
      </c>
      <c r="B57" s="172">
        <f t="shared" si="52"/>
        <v>2.2340185957372163</v>
      </c>
      <c r="C57" s="172">
        <f t="shared" si="52"/>
        <v>1.9472377422695444</v>
      </c>
      <c r="D57" s="172">
        <f t="shared" si="52"/>
        <v>1.9177574129176953</v>
      </c>
      <c r="E57" s="172">
        <f t="shared" si="52"/>
        <v>1.9401044019679718</v>
      </c>
      <c r="F57" s="172">
        <f t="shared" si="52"/>
        <v>1.4763503148301893</v>
      </c>
      <c r="H57" s="67">
        <f t="shared" si="33"/>
        <v>-17.318036908193985</v>
      </c>
      <c r="I57" s="68">
        <f t="shared" si="21"/>
        <v>51.385745975479111</v>
      </c>
      <c r="J57" s="68">
        <f t="shared" si="22"/>
        <v>34.067709067285122</v>
      </c>
      <c r="L57" t="str">
        <f t="shared" si="23"/>
        <v>42 Secretarial and related occupations</v>
      </c>
      <c r="M57" s="172">
        <f t="shared" ref="M57:Q57" si="57">M20/M$35*100</f>
        <v>0.30530936970125028</v>
      </c>
      <c r="N57" s="172">
        <f t="shared" si="57"/>
        <v>0.22939070063347672</v>
      </c>
      <c r="O57" s="172">
        <f t="shared" si="57"/>
        <v>0.22533272351007186</v>
      </c>
      <c r="P57" s="172">
        <f t="shared" si="57"/>
        <v>0.28696020478450351</v>
      </c>
      <c r="Q57" s="172">
        <f t="shared" si="57"/>
        <v>0.33453087673941451</v>
      </c>
      <c r="S57" s="67">
        <f t="shared" si="25"/>
        <v>58.089920954003681</v>
      </c>
      <c r="T57" s="68">
        <f t="shared" si="26"/>
        <v>45.212094115608778</v>
      </c>
      <c r="U57" s="68">
        <f t="shared" si="27"/>
        <v>103.30201506961245</v>
      </c>
      <c r="W57" t="str">
        <f t="shared" si="28"/>
        <v>42 Secretarial and related occupations</v>
      </c>
      <c r="X57" s="172">
        <f t="shared" ref="X57:AB57" si="58">X20/X$35*100</f>
        <v>4.3815628266084383</v>
      </c>
      <c r="Y57" s="172">
        <f t="shared" si="58"/>
        <v>3.8282925196955997</v>
      </c>
      <c r="Z57" s="172">
        <f t="shared" si="58"/>
        <v>3.7395664852398709</v>
      </c>
      <c r="AA57" s="172">
        <f t="shared" si="58"/>
        <v>3.7119208093445204</v>
      </c>
      <c r="AB57" s="172">
        <f t="shared" si="58"/>
        <v>2.6838752414277667</v>
      </c>
      <c r="AD57" s="67">
        <f t="shared" si="30"/>
        <v>-22.209217464039426</v>
      </c>
      <c r="AE57" s="68">
        <f t="shared" si="31"/>
        <v>51.786187079994171</v>
      </c>
      <c r="AF57" s="68">
        <f t="shared" si="32"/>
        <v>29.576969615954752</v>
      </c>
    </row>
    <row r="58" spans="1:32" x14ac:dyDescent="0.3">
      <c r="A58" t="str">
        <f t="shared" si="19"/>
        <v>51 Skilled agricultural and related trades</v>
      </c>
      <c r="B58" s="172">
        <f t="shared" si="52"/>
        <v>1.0428421705441984</v>
      </c>
      <c r="C58" s="172">
        <f t="shared" si="52"/>
        <v>1.0004641552381275</v>
      </c>
      <c r="D58" s="172">
        <f t="shared" si="52"/>
        <v>0.90837589544911246</v>
      </c>
      <c r="E58" s="172">
        <f t="shared" si="52"/>
        <v>0.90418189677427818</v>
      </c>
      <c r="F58" s="172">
        <f t="shared" si="52"/>
        <v>0.96456101221704804</v>
      </c>
      <c r="H58" s="67">
        <f t="shared" si="33"/>
        <v>14.045756637233186</v>
      </c>
      <c r="I58" s="68">
        <f t="shared" si="21"/>
        <v>59.693242143885413</v>
      </c>
      <c r="J58" s="68">
        <f t="shared" si="22"/>
        <v>73.738998781118596</v>
      </c>
      <c r="L58" t="str">
        <f t="shared" si="23"/>
        <v>51 Skilled agricultural and related trades</v>
      </c>
      <c r="M58" s="172">
        <f t="shared" ref="M58:Q58" si="59">M21/M$35*100</f>
        <v>1.6601724374917592</v>
      </c>
      <c r="N58" s="172">
        <f t="shared" si="59"/>
        <v>1.5977394948666221</v>
      </c>
      <c r="O58" s="172">
        <f t="shared" si="59"/>
        <v>1.3985694853020223</v>
      </c>
      <c r="P58" s="172">
        <f t="shared" si="59"/>
        <v>1.3576201543563988</v>
      </c>
      <c r="Q58" s="172">
        <f t="shared" si="59"/>
        <v>1.4129367608107297</v>
      </c>
      <c r="S58" s="67">
        <f t="shared" si="25"/>
        <v>7.5798453298987596</v>
      </c>
      <c r="T58" s="68">
        <f t="shared" si="26"/>
        <v>53.685231035635539</v>
      </c>
      <c r="U58" s="68">
        <f t="shared" si="27"/>
        <v>61.265076365534298</v>
      </c>
      <c r="W58" t="str">
        <f t="shared" si="28"/>
        <v>51 Skilled agricultural and related trades</v>
      </c>
      <c r="X58" s="172">
        <f t="shared" ref="X58:AB58" si="60">X21/X$35*100</f>
        <v>0.35546844130135319</v>
      </c>
      <c r="Y58" s="172">
        <f t="shared" si="60"/>
        <v>0.34644339330990703</v>
      </c>
      <c r="Z58" s="172">
        <f t="shared" si="60"/>
        <v>0.38070743564852561</v>
      </c>
      <c r="AA58" s="172">
        <f t="shared" si="60"/>
        <v>0.41819322991445557</v>
      </c>
      <c r="AB58" s="172">
        <f t="shared" si="60"/>
        <v>0.49038368185557674</v>
      </c>
      <c r="AD58" s="67">
        <f t="shared" si="30"/>
        <v>39.614886004905117</v>
      </c>
      <c r="AE58" s="68">
        <f t="shared" si="31"/>
        <v>83.451627616169191</v>
      </c>
      <c r="AF58" s="68">
        <f t="shared" si="32"/>
        <v>123.06651362107431</v>
      </c>
    </row>
    <row r="59" spans="1:32" x14ac:dyDescent="0.3">
      <c r="A59" t="str">
        <f t="shared" si="19"/>
        <v>52 Skilled metal, electrical and electronic trades</v>
      </c>
      <c r="B59" s="172">
        <f t="shared" si="52"/>
        <v>3.6367644143597917</v>
      </c>
      <c r="C59" s="172">
        <f t="shared" si="52"/>
        <v>3.5223013066878894</v>
      </c>
      <c r="D59" s="172">
        <f t="shared" si="52"/>
        <v>3.102362907477759</v>
      </c>
      <c r="E59" s="172">
        <f t="shared" si="52"/>
        <v>2.9971107956323664</v>
      </c>
      <c r="F59" s="172">
        <f t="shared" si="52"/>
        <v>2.7211529126229559</v>
      </c>
      <c r="H59" s="67">
        <f t="shared" si="33"/>
        <v>-5.7946914109966103</v>
      </c>
      <c r="I59" s="68">
        <f t="shared" si="21"/>
        <v>37.440400224200133</v>
      </c>
      <c r="J59" s="68">
        <f t="shared" si="22"/>
        <v>31.645708813203527</v>
      </c>
      <c r="L59" t="str">
        <f t="shared" si="23"/>
        <v>52 Skilled metal, electrical and electronic trades</v>
      </c>
      <c r="M59" s="172">
        <f t="shared" ref="M59:Q59" si="61">M22/M$35*100</f>
        <v>6.7828212128144116</v>
      </c>
      <c r="N59" s="172">
        <f t="shared" si="61"/>
        <v>6.547747375742496</v>
      </c>
      <c r="O59" s="172">
        <f t="shared" si="61"/>
        <v>5.8327575349121901</v>
      </c>
      <c r="P59" s="172">
        <f t="shared" si="61"/>
        <v>5.4597834196852695</v>
      </c>
      <c r="Q59" s="172">
        <f t="shared" si="61"/>
        <v>4.8861036465449788</v>
      </c>
      <c r="S59" s="67">
        <f t="shared" si="25"/>
        <v>-10.796685569195033</v>
      </c>
      <c r="T59" s="68">
        <f t="shared" si="26"/>
        <v>34.959335907040042</v>
      </c>
      <c r="U59" s="68">
        <f t="shared" si="27"/>
        <v>24.162650337845008</v>
      </c>
      <c r="W59" t="str">
        <f t="shared" si="28"/>
        <v>52 Skilled metal, electrical and electronic trades</v>
      </c>
      <c r="X59" s="172">
        <f t="shared" ref="X59:AB59" si="62">X22/X$35*100</f>
        <v>0.13375004790680262</v>
      </c>
      <c r="Y59" s="172">
        <f t="shared" si="62"/>
        <v>0.20941625691075835</v>
      </c>
      <c r="Z59" s="172">
        <f t="shared" si="62"/>
        <v>0.16323200587124367</v>
      </c>
      <c r="AA59" s="172">
        <f t="shared" si="62"/>
        <v>0.35765334919293423</v>
      </c>
      <c r="AB59" s="172">
        <f t="shared" si="62"/>
        <v>0.43162105771094184</v>
      </c>
      <c r="AD59" s="67">
        <f t="shared" si="30"/>
        <v>186.60540896754276</v>
      </c>
      <c r="AE59" s="68">
        <f t="shared" si="31"/>
        <v>132.87374312101491</v>
      </c>
      <c r="AF59" s="68">
        <f t="shared" si="32"/>
        <v>319.47915208855773</v>
      </c>
    </row>
    <row r="60" spans="1:32" x14ac:dyDescent="0.3">
      <c r="A60" t="str">
        <f t="shared" si="19"/>
        <v>53 Skilled construction and building trades</v>
      </c>
      <c r="B60" s="172">
        <f t="shared" si="52"/>
        <v>3.2042901918290698</v>
      </c>
      <c r="C60" s="172">
        <f t="shared" si="52"/>
        <v>3.0033581806341778</v>
      </c>
      <c r="D60" s="172">
        <f t="shared" si="52"/>
        <v>2.5706005932205755</v>
      </c>
      <c r="E60" s="172">
        <f t="shared" si="52"/>
        <v>2.6307730436150956</v>
      </c>
      <c r="F60" s="172">
        <f t="shared" si="52"/>
        <v>2.3798792511480205</v>
      </c>
      <c r="H60" s="67">
        <f t="shared" si="33"/>
        <v>-0.56589987031243327</v>
      </c>
      <c r="I60" s="68">
        <f t="shared" si="21"/>
        <v>43.377424244121904</v>
      </c>
      <c r="J60" s="68">
        <f t="shared" si="22"/>
        <v>42.811524373809476</v>
      </c>
      <c r="L60" t="str">
        <f t="shared" si="23"/>
        <v>53 Skilled construction and building trades</v>
      </c>
      <c r="M60" s="172">
        <f t="shared" ref="M60:Q60" si="63">M23/M$35*100</f>
        <v>5.9845180869162853</v>
      </c>
      <c r="N60" s="172">
        <f t="shared" si="63"/>
        <v>5.6298690826330136</v>
      </c>
      <c r="O60" s="172">
        <f t="shared" si="63"/>
        <v>4.8389923941645243</v>
      </c>
      <c r="P60" s="172">
        <f t="shared" si="63"/>
        <v>4.956999177412361</v>
      </c>
      <c r="Q60" s="172">
        <f t="shared" si="63"/>
        <v>4.4793591845889846</v>
      </c>
      <c r="S60" s="67">
        <f t="shared" si="25"/>
        <v>-1.4280862411494661</v>
      </c>
      <c r="T60" s="68">
        <f t="shared" si="26"/>
        <v>42.877851094875567</v>
      </c>
      <c r="U60" s="68">
        <f t="shared" si="27"/>
        <v>41.449764853726101</v>
      </c>
      <c r="W60" t="str">
        <f t="shared" si="28"/>
        <v>53 Skilled construction and building trades</v>
      </c>
      <c r="X60" s="172">
        <f t="shared" ref="X60:AB60" si="64">X23/X$35*100</f>
        <v>0.10861236958255589</v>
      </c>
      <c r="Y60" s="172">
        <f t="shared" si="64"/>
        <v>0.12730998750685119</v>
      </c>
      <c r="Z60" s="172">
        <f t="shared" si="64"/>
        <v>0.12879222892201564</v>
      </c>
      <c r="AA60" s="172">
        <f t="shared" si="64"/>
        <v>0.13755700223627385</v>
      </c>
      <c r="AB60" s="172">
        <f t="shared" si="64"/>
        <v>0.15958568462718148</v>
      </c>
      <c r="AD60" s="67">
        <f t="shared" si="30"/>
        <v>34.304742013439089</v>
      </c>
      <c r="AE60" s="68">
        <f t="shared" si="31"/>
        <v>63.582378731159054</v>
      </c>
      <c r="AF60" s="68">
        <f t="shared" si="32"/>
        <v>97.88712074459815</v>
      </c>
    </row>
    <row r="61" spans="1:32" x14ac:dyDescent="0.3">
      <c r="A61" t="str">
        <f t="shared" si="19"/>
        <v>54 Textiles, printing and other skilled trades</v>
      </c>
      <c r="B61" s="172">
        <f t="shared" si="52"/>
        <v>2.2001121980314986</v>
      </c>
      <c r="C61" s="172">
        <f t="shared" si="52"/>
        <v>1.909530215062704</v>
      </c>
      <c r="D61" s="172">
        <f t="shared" si="52"/>
        <v>1.8255764298983048</v>
      </c>
      <c r="E61" s="172">
        <f t="shared" si="52"/>
        <v>1.7731156862626658</v>
      </c>
      <c r="F61" s="172">
        <f t="shared" si="52"/>
        <v>1.7115541559296665</v>
      </c>
      <c r="H61" s="67">
        <f t="shared" si="33"/>
        <v>0.69447779810008992</v>
      </c>
      <c r="I61" s="68">
        <f t="shared" si="21"/>
        <v>43.345782792280261</v>
      </c>
      <c r="J61" s="68">
        <f t="shared" si="22"/>
        <v>44.040260590380356</v>
      </c>
      <c r="L61" t="str">
        <f t="shared" si="23"/>
        <v>54 Textiles, printing and other skilled trades</v>
      </c>
      <c r="M61" s="172">
        <f t="shared" ref="M61:Q61" si="65">M24/M$35*100</f>
        <v>2.6611934219201636</v>
      </c>
      <c r="N61" s="172">
        <f t="shared" si="65"/>
        <v>2.3057090552837538</v>
      </c>
      <c r="O61" s="172">
        <f t="shared" si="65"/>
        <v>2.0609055274972325</v>
      </c>
      <c r="P61" s="172">
        <f t="shared" si="65"/>
        <v>1.9987942543550927</v>
      </c>
      <c r="Q61" s="172">
        <f t="shared" si="65"/>
        <v>1.9247049512993712</v>
      </c>
      <c r="S61" s="67">
        <f t="shared" si="25"/>
        <v>-0.55148122966694713</v>
      </c>
      <c r="T61" s="68">
        <f t="shared" si="26"/>
        <v>32.459604133986616</v>
      </c>
      <c r="U61" s="68">
        <f t="shared" si="27"/>
        <v>31.908122904319665</v>
      </c>
      <c r="W61" t="str">
        <f t="shared" si="28"/>
        <v>54 Textiles, printing and other skilled trades</v>
      </c>
      <c r="X61" s="172">
        <f t="shared" ref="X61:AB61" si="66">X24/X$35*100</f>
        <v>1.6867158244577283</v>
      </c>
      <c r="Y61" s="172">
        <f t="shared" si="66"/>
        <v>1.4757115559793206</v>
      </c>
      <c r="Z61" s="172">
        <f t="shared" si="66"/>
        <v>1.5722566292180353</v>
      </c>
      <c r="AA61" s="172">
        <f t="shared" si="66"/>
        <v>1.5312366109704612</v>
      </c>
      <c r="AB61" s="172">
        <f t="shared" si="66"/>
        <v>1.4861376934429233</v>
      </c>
      <c r="AD61" s="67">
        <f t="shared" si="30"/>
        <v>2.4525306169922798</v>
      </c>
      <c r="AE61" s="68">
        <f t="shared" si="31"/>
        <v>58.706221338549256</v>
      </c>
      <c r="AF61" s="68">
        <f t="shared" si="32"/>
        <v>61.158751955541533</v>
      </c>
    </row>
    <row r="62" spans="1:32" x14ac:dyDescent="0.3">
      <c r="A62" t="str">
        <f t="shared" si="19"/>
        <v>61 Caring personal service occupations</v>
      </c>
      <c r="B62" s="172">
        <f t="shared" si="52"/>
        <v>7.084850042790551</v>
      </c>
      <c r="C62" s="172">
        <f t="shared" si="52"/>
        <v>6.9169625277259188</v>
      </c>
      <c r="D62" s="172">
        <f t="shared" si="52"/>
        <v>6.7850170377465711</v>
      </c>
      <c r="E62" s="172">
        <f t="shared" si="52"/>
        <v>7.1707146682696958</v>
      </c>
      <c r="F62" s="172">
        <f t="shared" si="52"/>
        <v>7.5280477113054065</v>
      </c>
      <c r="H62" s="67">
        <f t="shared" si="33"/>
        <v>19.164377572739248</v>
      </c>
      <c r="I62" s="68">
        <f t="shared" si="21"/>
        <v>62.205032709889821</v>
      </c>
      <c r="J62" s="68">
        <f t="shared" si="22"/>
        <v>81.369410282629062</v>
      </c>
      <c r="L62" t="str">
        <f t="shared" si="23"/>
        <v>61 Caring personal service occupations</v>
      </c>
      <c r="M62" s="172">
        <f t="shared" ref="M62:Q62" si="67">M25/M$35*100</f>
        <v>2.0616928612089547</v>
      </c>
      <c r="N62" s="172">
        <f t="shared" si="67"/>
        <v>2.042140994121223</v>
      </c>
      <c r="O62" s="172">
        <f t="shared" si="67"/>
        <v>2.0218662532253759</v>
      </c>
      <c r="P62" s="172">
        <f t="shared" si="67"/>
        <v>2.4240962974312277</v>
      </c>
      <c r="Q62" s="172">
        <f t="shared" si="67"/>
        <v>2.7313539246868999</v>
      </c>
      <c r="S62" s="67">
        <f t="shared" si="25"/>
        <v>43.852626213901978</v>
      </c>
      <c r="T62" s="68">
        <f t="shared" si="26"/>
        <v>56.916630364128743</v>
      </c>
      <c r="U62" s="68">
        <f t="shared" si="27"/>
        <v>100.76925657803071</v>
      </c>
      <c r="W62" t="str">
        <f t="shared" si="28"/>
        <v>61 Caring personal service occupations</v>
      </c>
      <c r="X62" s="172">
        <f t="shared" ref="X62:AB62" si="68">X25/X$35*100</f>
        <v>12.677944160059894</v>
      </c>
      <c r="Y62" s="172">
        <f t="shared" si="68"/>
        <v>12.25492691724061</v>
      </c>
      <c r="Z62" s="172">
        <f t="shared" si="68"/>
        <v>11.912306521520605</v>
      </c>
      <c r="AA62" s="172">
        <f t="shared" si="68"/>
        <v>12.258072639422672</v>
      </c>
      <c r="AB62" s="172">
        <f t="shared" si="68"/>
        <v>12.60076509495982</v>
      </c>
      <c r="AD62" s="67">
        <f t="shared" si="30"/>
        <v>14.653714852468694</v>
      </c>
      <c r="AE62" s="68">
        <f t="shared" si="31"/>
        <v>63.171249457684652</v>
      </c>
      <c r="AF62" s="68">
        <f t="shared" si="32"/>
        <v>77.824964310153348</v>
      </c>
    </row>
    <row r="63" spans="1:32" x14ac:dyDescent="0.3">
      <c r="A63" t="str">
        <f t="shared" si="19"/>
        <v>62 Leisure, travel and related personal service occupations</v>
      </c>
      <c r="B63" s="172">
        <f t="shared" si="52"/>
        <v>2.1893709548433642</v>
      </c>
      <c r="C63" s="172">
        <f t="shared" si="52"/>
        <v>2.251682490574229</v>
      </c>
      <c r="D63" s="172">
        <f t="shared" si="52"/>
        <v>2.0946873939409967</v>
      </c>
      <c r="E63" s="172">
        <f t="shared" si="52"/>
        <v>2.0771954592877462</v>
      </c>
      <c r="F63" s="172">
        <f t="shared" si="52"/>
        <v>2.0643842692040422</v>
      </c>
      <c r="H63" s="67">
        <f t="shared" si="33"/>
        <v>5.8489003383412159</v>
      </c>
      <c r="I63" s="68">
        <f t="shared" si="21"/>
        <v>52.444054126469396</v>
      </c>
      <c r="J63" s="68">
        <f t="shared" si="22"/>
        <v>58.29295446481062</v>
      </c>
      <c r="L63" t="str">
        <f t="shared" si="23"/>
        <v>62 Leisure, travel and related personal service occupations</v>
      </c>
      <c r="M63" s="172">
        <f t="shared" ref="M63:Q63" si="69">M26/M$35*100</f>
        <v>1.2232727989707697</v>
      </c>
      <c r="N63" s="172">
        <f t="shared" si="69"/>
        <v>1.3156567601646578</v>
      </c>
      <c r="O63" s="172">
        <f t="shared" si="69"/>
        <v>1.2735253018889225</v>
      </c>
      <c r="P63" s="172">
        <f t="shared" si="69"/>
        <v>1.2832739889734122</v>
      </c>
      <c r="Q63" s="172">
        <f t="shared" si="69"/>
        <v>1.3569560917532157</v>
      </c>
      <c r="S63" s="67">
        <f t="shared" si="25"/>
        <v>13.462005769518221</v>
      </c>
      <c r="T63" s="68">
        <f t="shared" si="26"/>
        <v>46.206088446813695</v>
      </c>
      <c r="U63" s="68">
        <f t="shared" si="27"/>
        <v>59.668094216331916</v>
      </c>
      <c r="W63" t="str">
        <f t="shared" si="28"/>
        <v>62 Leisure, travel and related personal service occupations</v>
      </c>
      <c r="X63" s="172">
        <f t="shared" ref="X63:AB63" si="70">X26/X$35*100</f>
        <v>3.2650844388109208</v>
      </c>
      <c r="Y63" s="172">
        <f t="shared" si="70"/>
        <v>3.2766373493629013</v>
      </c>
      <c r="Z63" s="172">
        <f t="shared" si="70"/>
        <v>2.9786266076091388</v>
      </c>
      <c r="AA63" s="172">
        <f t="shared" si="70"/>
        <v>2.9281091845804821</v>
      </c>
      <c r="AB63" s="172">
        <f t="shared" si="70"/>
        <v>2.8125210844939645</v>
      </c>
      <c r="AD63" s="67">
        <f t="shared" si="30"/>
        <v>2.3450393676681713</v>
      </c>
      <c r="AE63" s="68">
        <f t="shared" si="31"/>
        <v>55.315019815692082</v>
      </c>
      <c r="AF63" s="68">
        <f t="shared" si="32"/>
        <v>57.660059183360246</v>
      </c>
    </row>
    <row r="64" spans="1:32" x14ac:dyDescent="0.3">
      <c r="A64" t="str">
        <f t="shared" si="19"/>
        <v>63 Community and civil enforcement occupations</v>
      </c>
      <c r="B64" s="172">
        <f t="shared" si="52"/>
        <v>0.1006422791724798</v>
      </c>
      <c r="C64" s="172">
        <f t="shared" si="52"/>
        <v>8.2334154112991276E-2</v>
      </c>
      <c r="D64" s="172">
        <f t="shared" si="52"/>
        <v>0.10630543376891599</v>
      </c>
      <c r="E64" s="172">
        <f t="shared" si="52"/>
        <v>8.3790183120428643E-2</v>
      </c>
      <c r="F64" s="172">
        <f t="shared" si="52"/>
        <v>8.6745895003062401E-2</v>
      </c>
      <c r="H64" s="67">
        <f t="shared" si="33"/>
        <v>-12.358763377180374</v>
      </c>
      <c r="I64" s="68">
        <f t="shared" si="21"/>
        <v>41.326955811879643</v>
      </c>
      <c r="J64" s="68">
        <f t="shared" si="22"/>
        <v>28.968192434699276</v>
      </c>
      <c r="L64" t="str">
        <f t="shared" si="23"/>
        <v>63 Community and civil enforcement occupations</v>
      </c>
      <c r="M64" s="172">
        <f t="shared" ref="M64:Q64" si="71">M27/M$35*100</f>
        <v>0.14764756487183894</v>
      </c>
      <c r="N64" s="172">
        <f t="shared" si="71"/>
        <v>0.10665342700814658</v>
      </c>
      <c r="O64" s="172">
        <f t="shared" si="71"/>
        <v>0.15963107704067686</v>
      </c>
      <c r="P64" s="172">
        <f t="shared" si="71"/>
        <v>0.10328059688436671</v>
      </c>
      <c r="Q64" s="172">
        <f t="shared" si="71"/>
        <v>0.1130048896260242</v>
      </c>
      <c r="S64" s="67">
        <f t="shared" si="25"/>
        <v>-24.61724056595634</v>
      </c>
      <c r="T64" s="68">
        <f t="shared" si="26"/>
        <v>29.744454450655006</v>
      </c>
      <c r="U64" s="68">
        <f t="shared" si="27"/>
        <v>5.1272138846986648</v>
      </c>
      <c r="W64" t="str">
        <f t="shared" si="28"/>
        <v>63 Community and civil enforcement occupations</v>
      </c>
      <c r="X64" s="172">
        <f t="shared" ref="X64:AB64" si="72">X27/X$35*100</f>
        <v>4.8303684654744473E-2</v>
      </c>
      <c r="Y64" s="172">
        <f t="shared" si="72"/>
        <v>5.5704376633273933E-2</v>
      </c>
      <c r="Z64" s="172">
        <f t="shared" si="72"/>
        <v>4.8903091846148633E-2</v>
      </c>
      <c r="AA64" s="172">
        <f t="shared" si="72"/>
        <v>6.2900635219924686E-2</v>
      </c>
      <c r="AB64" s="172">
        <f t="shared" si="72"/>
        <v>5.8975838287582516E-2</v>
      </c>
      <c r="AD64" s="67">
        <f t="shared" si="30"/>
        <v>30.714835313434229</v>
      </c>
      <c r="AE64" s="68">
        <f t="shared" si="31"/>
        <v>82.025323788914221</v>
      </c>
      <c r="AF64" s="68">
        <f t="shared" si="32"/>
        <v>112.74015910234844</v>
      </c>
    </row>
    <row r="65" spans="1:32" x14ac:dyDescent="0.3">
      <c r="A65" t="str">
        <f t="shared" si="19"/>
        <v>71 Sales occupations</v>
      </c>
      <c r="B65" s="172">
        <f t="shared" ref="B65:F70" si="73">B28/B$35*100</f>
        <v>6.9517971179559952</v>
      </c>
      <c r="C65" s="172">
        <f t="shared" si="73"/>
        <v>6.2630259301595448</v>
      </c>
      <c r="D65" s="172">
        <f t="shared" si="73"/>
        <v>6.2033707691931372</v>
      </c>
      <c r="E65" s="172">
        <f t="shared" si="73"/>
        <v>5.6006997169518025</v>
      </c>
      <c r="F65" s="172">
        <f t="shared" si="73"/>
        <v>5.1102110064702337</v>
      </c>
      <c r="H65" s="67">
        <f t="shared" si="33"/>
        <v>-11.523869142127028</v>
      </c>
      <c r="I65" s="68">
        <f t="shared" si="21"/>
        <v>42.418985386916781</v>
      </c>
      <c r="J65" s="68">
        <f t="shared" si="22"/>
        <v>30.895116244789751</v>
      </c>
      <c r="L65" t="str">
        <f t="shared" si="23"/>
        <v>71 Sales occupations</v>
      </c>
      <c r="M65" s="172">
        <f t="shared" ref="M65:Q65" si="74">M28/M$35*100</f>
        <v>5.2568198283914169</v>
      </c>
      <c r="N65" s="172">
        <f t="shared" si="74"/>
        <v>4.9940565274064532</v>
      </c>
      <c r="O65" s="172">
        <f t="shared" si="74"/>
        <v>4.9849803001057325</v>
      </c>
      <c r="P65" s="172">
        <f t="shared" si="74"/>
        <v>4.5775344948898127</v>
      </c>
      <c r="Q65" s="172">
        <f t="shared" si="74"/>
        <v>4.3371825210311794</v>
      </c>
      <c r="S65" s="67">
        <f t="shared" si="25"/>
        <v>-7.3519054205182233</v>
      </c>
      <c r="T65" s="68">
        <f t="shared" si="26"/>
        <v>31.81550459394828</v>
      </c>
      <c r="U65" s="68">
        <f t="shared" si="27"/>
        <v>24.463599173430055</v>
      </c>
      <c r="W65" t="str">
        <f t="shared" si="28"/>
        <v>71 Sales occupations</v>
      </c>
      <c r="X65" s="172">
        <f t="shared" ref="X65:AB65" si="75">X28/X$35*100</f>
        <v>8.8390897437830009</v>
      </c>
      <c r="Y65" s="172">
        <f t="shared" si="75"/>
        <v>7.6525564876548327</v>
      </c>
      <c r="Z65" s="172">
        <f t="shared" si="75"/>
        <v>7.5149061208732286</v>
      </c>
      <c r="AA65" s="172">
        <f t="shared" si="75"/>
        <v>6.6973136306050662</v>
      </c>
      <c r="AB65" s="172">
        <f t="shared" si="75"/>
        <v>5.9277230701100452</v>
      </c>
      <c r="AD65" s="67">
        <f t="shared" si="30"/>
        <v>-14.502892567256827</v>
      </c>
      <c r="AE65" s="68">
        <f t="shared" si="31"/>
        <v>49.990484033120019</v>
      </c>
      <c r="AF65" s="68">
        <f t="shared" si="32"/>
        <v>35.48759146586319</v>
      </c>
    </row>
    <row r="66" spans="1:32" x14ac:dyDescent="0.3">
      <c r="A66" t="str">
        <f t="shared" si="19"/>
        <v>72 Customer service occupations</v>
      </c>
      <c r="B66" s="172">
        <f t="shared" si="73"/>
        <v>1.6038280306898869</v>
      </c>
      <c r="C66" s="172">
        <f t="shared" si="73"/>
        <v>1.65105435928244</v>
      </c>
      <c r="D66" s="172">
        <f t="shared" si="73"/>
        <v>1.70807772094725</v>
      </c>
      <c r="E66" s="172">
        <f t="shared" si="73"/>
        <v>2.1351460235656861</v>
      </c>
      <c r="F66" s="172">
        <f t="shared" si="73"/>
        <v>2.3384591167250499</v>
      </c>
      <c r="H66" s="67">
        <f t="shared" si="33"/>
        <v>47.040571501408145</v>
      </c>
      <c r="I66" s="68">
        <f t="shared" si="21"/>
        <v>60.148933847803853</v>
      </c>
      <c r="J66" s="68">
        <f t="shared" si="22"/>
        <v>107.18950534921201</v>
      </c>
      <c r="L66" t="str">
        <f t="shared" si="23"/>
        <v>72 Customer service occupations</v>
      </c>
      <c r="M66" s="172">
        <f t="shared" ref="M66:Q66" si="76">M29/M$35*100</f>
        <v>1.2024865054245841</v>
      </c>
      <c r="N66" s="172">
        <f t="shared" si="76"/>
        <v>1.0826036906367071</v>
      </c>
      <c r="O66" s="172">
        <f t="shared" si="76"/>
        <v>1.2792305691578743</v>
      </c>
      <c r="P66" s="172">
        <f t="shared" si="76"/>
        <v>1.7216625575865068</v>
      </c>
      <c r="Q66" s="172">
        <f t="shared" si="76"/>
        <v>1.9579025592764729</v>
      </c>
      <c r="S66" s="67">
        <f t="shared" si="25"/>
        <v>62.980064198611863</v>
      </c>
      <c r="T66" s="68">
        <f t="shared" si="26"/>
        <v>48.856724936606923</v>
      </c>
      <c r="U66" s="68">
        <f t="shared" si="27"/>
        <v>111.83678913521879</v>
      </c>
      <c r="W66" t="str">
        <f t="shared" si="28"/>
        <v>72 Customer service occupations</v>
      </c>
      <c r="X66" s="172">
        <f t="shared" ref="X66:AB66" si="77">X29/X$35*100</f>
        <v>2.0507065261922923</v>
      </c>
      <c r="Y66" s="172">
        <f t="shared" si="77"/>
        <v>2.2735119006527729</v>
      </c>
      <c r="Z66" s="172">
        <f t="shared" si="77"/>
        <v>2.1697098613072918</v>
      </c>
      <c r="AA66" s="172">
        <f t="shared" si="77"/>
        <v>2.5783117137995046</v>
      </c>
      <c r="AB66" s="172">
        <f t="shared" si="77"/>
        <v>2.7409146309416337</v>
      </c>
      <c r="AD66" s="67">
        <f t="shared" si="30"/>
        <v>36.924423619593107</v>
      </c>
      <c r="AE66" s="68">
        <f t="shared" si="31"/>
        <v>67.31563967891546</v>
      </c>
      <c r="AF66" s="68">
        <f t="shared" si="32"/>
        <v>104.24006329850857</v>
      </c>
    </row>
    <row r="67" spans="1:32" x14ac:dyDescent="0.3">
      <c r="A67" t="str">
        <f t="shared" si="19"/>
        <v>81 Process, plant and machine operatives</v>
      </c>
      <c r="B67" s="172">
        <f t="shared" si="73"/>
        <v>2.4892135987608759</v>
      </c>
      <c r="C67" s="172">
        <f t="shared" si="73"/>
        <v>2.2894983532027378</v>
      </c>
      <c r="D67" s="172">
        <f t="shared" si="73"/>
        <v>2.033785604275538</v>
      </c>
      <c r="E67" s="172">
        <f t="shared" si="73"/>
        <v>2.3769273661634398</v>
      </c>
      <c r="F67" s="172">
        <f t="shared" si="73"/>
        <v>2.2338301758278023</v>
      </c>
      <c r="H67" s="67">
        <f t="shared" si="33"/>
        <v>17.966858167833465</v>
      </c>
      <c r="I67" s="68">
        <f t="shared" si="21"/>
        <v>46.160834061153174</v>
      </c>
      <c r="J67" s="68">
        <f t="shared" si="22"/>
        <v>64.127692228986646</v>
      </c>
      <c r="L67" t="str">
        <f t="shared" si="23"/>
        <v>81 Process, plant and machine operatives</v>
      </c>
      <c r="M67" s="172">
        <f t="shared" ref="M67:Q67" si="78">M30/M$35*100</f>
        <v>3.6893129773134747</v>
      </c>
      <c r="N67" s="172">
        <f t="shared" si="78"/>
        <v>3.3498295049153075</v>
      </c>
      <c r="O67" s="172">
        <f t="shared" si="78"/>
        <v>3.0187445868622391</v>
      </c>
      <c r="P67" s="172">
        <f t="shared" si="78"/>
        <v>3.4908047926912031</v>
      </c>
      <c r="Q67" s="172">
        <f t="shared" si="78"/>
        <v>3.2662149132797107</v>
      </c>
      <c r="S67" s="67">
        <f t="shared" si="25"/>
        <v>15.215425366872552</v>
      </c>
      <c r="T67" s="68">
        <f t="shared" si="26"/>
        <v>41.779178403887315</v>
      </c>
      <c r="U67" s="68">
        <f t="shared" si="27"/>
        <v>56.994603770759852</v>
      </c>
      <c r="W67" t="str">
        <f t="shared" si="28"/>
        <v>81 Process, plant and machine operatives</v>
      </c>
      <c r="X67" s="172">
        <f t="shared" ref="X67:AB67" si="79">X30/X$35*100</f>
        <v>1.1529486698167759</v>
      </c>
      <c r="Y67" s="172">
        <f t="shared" si="79"/>
        <v>1.1284281704447749</v>
      </c>
      <c r="Z67" s="172">
        <f t="shared" si="79"/>
        <v>0.97352737147360624</v>
      </c>
      <c r="AA67" s="172">
        <f t="shared" si="79"/>
        <v>1.1830894036367847</v>
      </c>
      <c r="AB67" s="172">
        <f t="shared" si="79"/>
        <v>1.1420373207363246</v>
      </c>
      <c r="AD67" s="67">
        <f t="shared" si="30"/>
        <v>27.150831655719305</v>
      </c>
      <c r="AE67" s="68">
        <f t="shared" si="31"/>
        <v>60.786308241484655</v>
      </c>
      <c r="AF67" s="68">
        <f t="shared" si="32"/>
        <v>87.937139897203949</v>
      </c>
    </row>
    <row r="68" spans="1:32" x14ac:dyDescent="0.3">
      <c r="A68" t="str">
        <f t="shared" si="19"/>
        <v>82 Transport and mobile machine drivers and operatives</v>
      </c>
      <c r="B68" s="172">
        <f t="shared" si="73"/>
        <v>3.6781338905138976</v>
      </c>
      <c r="C68" s="172">
        <f t="shared" si="73"/>
        <v>3.9017535678021762</v>
      </c>
      <c r="D68" s="172">
        <f t="shared" si="73"/>
        <v>3.5327090421166245</v>
      </c>
      <c r="E68" s="172">
        <f t="shared" si="73"/>
        <v>3.6967103337266169</v>
      </c>
      <c r="F68" s="172">
        <f t="shared" si="73"/>
        <v>3.5412930392964839</v>
      </c>
      <c r="H68" s="67">
        <f t="shared" si="33"/>
        <v>7.6636314737866833</v>
      </c>
      <c r="I68" s="68">
        <f t="shared" si="21"/>
        <v>56.372894217478922</v>
      </c>
      <c r="J68" s="68">
        <f t="shared" si="22"/>
        <v>64.036525691265595</v>
      </c>
      <c r="L68" t="str">
        <f t="shared" si="23"/>
        <v>82 Transport and mobile machine drivers and operatives</v>
      </c>
      <c r="M68" s="172">
        <f t="shared" ref="M68:Q68" si="80">M31/M$35*100</f>
        <v>6.5486729770116492</v>
      </c>
      <c r="N68" s="172">
        <f t="shared" si="80"/>
        <v>7.0442674717889426</v>
      </c>
      <c r="O68" s="172">
        <f t="shared" si="80"/>
        <v>6.4097105911435177</v>
      </c>
      <c r="P68" s="172">
        <f t="shared" si="80"/>
        <v>6.5650585421611227</v>
      </c>
      <c r="Q68" s="172">
        <f t="shared" si="80"/>
        <v>6.2481983070512985</v>
      </c>
      <c r="S68" s="67">
        <f t="shared" si="25"/>
        <v>3.8026936414324051</v>
      </c>
      <c r="T68" s="68">
        <f t="shared" si="26"/>
        <v>54.132334266077834</v>
      </c>
      <c r="U68" s="68">
        <f t="shared" si="27"/>
        <v>57.935027907510239</v>
      </c>
      <c r="W68" t="str">
        <f t="shared" si="28"/>
        <v>82 Transport and mobile machine drivers and operatives</v>
      </c>
      <c r="X68" s="172">
        <f t="shared" ref="X68:AB68" si="81">X31/X$35*100</f>
        <v>0.4818979978860668</v>
      </c>
      <c r="Y68" s="172">
        <f t="shared" si="81"/>
        <v>0.4606784028140869</v>
      </c>
      <c r="Z68" s="172">
        <f t="shared" si="81"/>
        <v>0.43576324836511143</v>
      </c>
      <c r="AA68" s="172">
        <f t="shared" si="81"/>
        <v>0.62245557335413859</v>
      </c>
      <c r="AB68" s="172">
        <f t="shared" si="81"/>
        <v>0.6786201194715189</v>
      </c>
      <c r="AD68" s="67">
        <f t="shared" si="30"/>
        <v>68.796410413834906</v>
      </c>
      <c r="AE68" s="68">
        <f t="shared" si="31"/>
        <v>91.849159870634494</v>
      </c>
      <c r="AF68" s="68">
        <f t="shared" si="32"/>
        <v>160.64557028446941</v>
      </c>
    </row>
    <row r="69" spans="1:32" x14ac:dyDescent="0.3">
      <c r="A69" t="str">
        <f t="shared" si="19"/>
        <v>91 Elementary trades and related occupations</v>
      </c>
      <c r="B69" s="172">
        <f t="shared" si="73"/>
        <v>1.6607550830773217</v>
      </c>
      <c r="C69" s="172">
        <f t="shared" si="73"/>
        <v>1.418441979754721</v>
      </c>
      <c r="D69" s="172">
        <f t="shared" si="73"/>
        <v>1.2771476427319932</v>
      </c>
      <c r="E69" s="172">
        <f t="shared" si="73"/>
        <v>1.0450564280222179</v>
      </c>
      <c r="F69" s="172">
        <f t="shared" si="73"/>
        <v>0.9517378686771456</v>
      </c>
      <c r="H69" s="67">
        <f t="shared" si="33"/>
        <v>-19.962913299891873</v>
      </c>
      <c r="I69" s="68">
        <f t="shared" si="21"/>
        <v>33.076640299613707</v>
      </c>
      <c r="J69" s="68">
        <f t="shared" si="22"/>
        <v>13.113726999721836</v>
      </c>
      <c r="L69" t="str">
        <f t="shared" si="23"/>
        <v>91 Elementary trades and related occupations</v>
      </c>
      <c r="M69" s="172">
        <f t="shared" ref="M69:Q70" si="82">M32/M$35*100</f>
        <v>2.413276071664022</v>
      </c>
      <c r="N69" s="172">
        <f t="shared" si="82"/>
        <v>2.0871697000094089</v>
      </c>
      <c r="O69" s="172">
        <f t="shared" si="82"/>
        <v>1.9453180543835058</v>
      </c>
      <c r="P69" s="172">
        <f t="shared" si="82"/>
        <v>1.5779820210567927</v>
      </c>
      <c r="Q69" s="172">
        <f t="shared" si="82"/>
        <v>1.4411655025435477</v>
      </c>
      <c r="S69" s="67">
        <f t="shared" si="25"/>
        <v>-21.111176416483733</v>
      </c>
      <c r="T69" s="68">
        <f t="shared" si="26"/>
        <v>27.564924409484902</v>
      </c>
      <c r="U69" s="68">
        <f t="shared" si="27"/>
        <v>6.4537479930011674</v>
      </c>
      <c r="W69" t="str">
        <f t="shared" si="28"/>
        <v>91 Elementary trades and related occupations</v>
      </c>
      <c r="X69" s="172">
        <f t="shared" ref="X69:AB70" si="83">X32/X$35*100</f>
        <v>0.82285163665147243</v>
      </c>
      <c r="Y69" s="172">
        <f t="shared" si="83"/>
        <v>0.68618035081231821</v>
      </c>
      <c r="Z69" s="172">
        <f t="shared" si="83"/>
        <v>0.55789618922711393</v>
      </c>
      <c r="AA69" s="172">
        <f t="shared" si="83"/>
        <v>0.47387436703909486</v>
      </c>
      <c r="AB69" s="172">
        <f t="shared" si="83"/>
        <v>0.43414634067903024</v>
      </c>
      <c r="AD69" s="67">
        <f t="shared" si="30"/>
        <v>-15.652964154527094</v>
      </c>
      <c r="AE69" s="68">
        <f t="shared" si="31"/>
        <v>53.764594869345238</v>
      </c>
      <c r="AF69" s="68">
        <f t="shared" si="32"/>
        <v>38.111630714818141</v>
      </c>
    </row>
    <row r="70" spans="1:32" x14ac:dyDescent="0.3">
      <c r="A70" t="str">
        <f t="shared" si="19"/>
        <v>92 Elementary administration and service occupations</v>
      </c>
      <c r="B70" s="172">
        <f t="shared" si="73"/>
        <v>9.862739272674375</v>
      </c>
      <c r="C70" s="172">
        <f t="shared" si="73"/>
        <v>9.4717990859232373</v>
      </c>
      <c r="D70" s="172">
        <f t="shared" si="73"/>
        <v>8.7749054214358484</v>
      </c>
      <c r="E70" s="172">
        <f t="shared" si="73"/>
        <v>8.7414358724741241</v>
      </c>
      <c r="F70" s="172">
        <f t="shared" si="73"/>
        <v>8.1130953212447405</v>
      </c>
      <c r="H70" s="67">
        <f t="shared" si="33"/>
        <v>-0.69773307950566144</v>
      </c>
      <c r="I70" s="68">
        <f t="shared" si="21"/>
        <v>49.383937120357778</v>
      </c>
      <c r="J70" s="68">
        <f t="shared" si="22"/>
        <v>48.686204040852118</v>
      </c>
      <c r="L70" t="str">
        <f t="shared" si="23"/>
        <v>92 Elementary administration and service occupations</v>
      </c>
      <c r="M70" s="172">
        <f t="shared" si="82"/>
        <v>9.2798771600658974</v>
      </c>
      <c r="N70" s="172">
        <f t="shared" si="82"/>
        <v>8.6763594814654557</v>
      </c>
      <c r="O70" s="172">
        <f t="shared" si="82"/>
        <v>8.3663864171958817</v>
      </c>
      <c r="P70" s="172">
        <f t="shared" si="82"/>
        <v>8.697452594979902</v>
      </c>
      <c r="Q70" s="172">
        <f t="shared" si="82"/>
        <v>8.0692515416381632</v>
      </c>
      <c r="S70" s="67">
        <f t="shared" si="25"/>
        <v>2.7040509813253713</v>
      </c>
      <c r="T70" s="68">
        <f t="shared" si="26"/>
        <v>42.13070999212313</v>
      </c>
      <c r="U70" s="68">
        <f t="shared" si="27"/>
        <v>44.834760973448503</v>
      </c>
      <c r="W70" t="str">
        <f t="shared" si="28"/>
        <v>92 Elementary administration and service occupations</v>
      </c>
      <c r="X70" s="172">
        <f t="shared" si="83"/>
        <v>10.511734025449195</v>
      </c>
      <c r="Y70" s="172">
        <f t="shared" si="83"/>
        <v>10.342811132894616</v>
      </c>
      <c r="Z70" s="172">
        <f t="shared" si="83"/>
        <v>9.2146553451981568</v>
      </c>
      <c r="AA70" s="172">
        <f t="shared" si="83"/>
        <v>8.7885765229069843</v>
      </c>
      <c r="AB70" s="172">
        <f t="shared" si="83"/>
        <v>8.1594620715250539</v>
      </c>
      <c r="AD70" s="67">
        <f t="shared" si="30"/>
        <v>-4.0224836830254862</v>
      </c>
      <c r="AE70" s="68">
        <f t="shared" si="31"/>
        <v>56.472914798196882</v>
      </c>
      <c r="AF70" s="68">
        <f t="shared" si="32"/>
        <v>52.450431115171391</v>
      </c>
    </row>
    <row r="71" spans="1:32" x14ac:dyDescent="0.3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3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7.4026577846033721</v>
      </c>
      <c r="I72" s="66">
        <f>IF(D35&gt;0,I35/D35*100,0)</f>
        <v>50.195187708303401</v>
      </c>
      <c r="J72" s="66">
        <f>IF(D35&gt;0,(J35/D35)*100,0)</f>
        <v>57.597845492906799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6.4859327643059945</v>
      </c>
      <c r="T72" s="66">
        <f t="shared" ref="T72" si="85">IF(O35&gt;0,T35/O35*100,0)</f>
        <v>41.996276731448667</v>
      </c>
      <c r="U72" s="66">
        <f t="shared" ref="U72" si="86">IF(O35&gt;0,(U35/O35)*100,0)</f>
        <v>48.482209495754645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8.3894656285537206</v>
      </c>
      <c r="AE72" s="66">
        <f t="shared" ref="AE72" si="88">IF(Z35&gt;0,AE35/Z35*100,0)</f>
        <v>59.020898237274736</v>
      </c>
      <c r="AF72" s="66">
        <f t="shared" ref="AF72" si="89">IF(Z35&gt;0,(AF35/Z35)*100,0)</f>
        <v>67.410363865828415</v>
      </c>
    </row>
    <row r="73" spans="1:32" x14ac:dyDescent="0.3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3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45" x14ac:dyDescent="0.4">
      <c r="A75" s="18" t="str">
        <f>CONCATENATE(A$1," (Continued)")</f>
        <v>Occupation Table 2  Employment Change by Occupation (SOC 2020) and Replacement Demand, 2015-2035, England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England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England (Continued)</v>
      </c>
      <c r="X75" s="17"/>
      <c r="Y75" s="17"/>
      <c r="Z75" s="17"/>
      <c r="AA75" s="17"/>
      <c r="AB75" s="17"/>
    </row>
    <row r="77" spans="1:32" x14ac:dyDescent="0.3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3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3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3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3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4.3536019403848547</v>
      </c>
      <c r="C82" s="17">
        <f t="shared" si="96"/>
        <v>2.1496525971158587</v>
      </c>
      <c r="D82" s="17">
        <f t="shared" si="96"/>
        <v>-1.2214296335727015</v>
      </c>
      <c r="E82" s="17">
        <f t="shared" si="96"/>
        <v>0.90486599880952312</v>
      </c>
      <c r="F82" s="17">
        <f t="shared" ref="F82:F107" si="97">IF(AND(F$6-D$6 &lt;&gt; 0,D8&lt;&gt;0,F8&lt;&gt;0),(EXP(LN(F8/D8)/(F$6-D$6))-1)*100,0)</f>
        <v>0.1910632416767255</v>
      </c>
      <c r="H82" s="17">
        <f t="shared" ref="H82:H107" si="98">IF($F$6-$D$6 &lt;&gt; 0,(EXP(LN(1+(H45/100))/($F$6-$D$6))-1)*100,0)</f>
        <v>0.1910632416767255</v>
      </c>
      <c r="I82" s="17">
        <f t="shared" ref="I82:I107" si="99">IF(D8&gt;0,((1+(I8/D8))^(1/($F$6-$D$6))-1)*100,0)</f>
        <v>2.7387304805817525</v>
      </c>
      <c r="J82" s="17">
        <f t="shared" ref="J82:J107" si="100">IF($F$6-$D$6 &lt;&gt; 0,(EXP(LN(1+(J45/100))/($F$6-$D$6))-1)*100,0)</f>
        <v>2.870198995021811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3.3377941728607752</v>
      </c>
      <c r="N82" s="17">
        <f t="shared" si="102"/>
        <v>1.3451326924079243</v>
      </c>
      <c r="O82" s="17">
        <f t="shared" si="102"/>
        <v>-1.8792967827192419</v>
      </c>
      <c r="P82" s="17">
        <f t="shared" si="102"/>
        <v>0.4986717411399999</v>
      </c>
      <c r="Q82" s="17">
        <f t="shared" ref="Q82:Q107" si="103">IF(AND(Q$6-O$6 &lt;&gt; 0,O8&lt;&gt;0,Q8&lt;&gt;0),(EXP(LN(Q8/O8)/(Q$6-O$6))-1)*100,0)</f>
        <v>-0.30031979775871909</v>
      </c>
      <c r="S82" s="17">
        <f t="shared" ref="S82:S107" si="104">IF($F$6-$D$6 &lt;&gt; 0,(EXP(LN(1+(S45/100))/($F$6-$D$6))-1)*100,0)</f>
        <v>-0.30031979775871909</v>
      </c>
      <c r="T82" s="17">
        <f t="shared" ref="T82:T107" si="105">IF(O8&gt;0,((1+(T8/O8))^(1/($F$6-$D$6))-1)*100,0)</f>
        <v>2.4467258768423816</v>
      </c>
      <c r="U82" s="17">
        <f t="shared" ref="U82:U107" si="106">IF($F$6-$D$6 &lt;&gt; 0,(EXP(LN(1+(U45/100))/($F$6-$D$6))-1)*100,0)</f>
        <v>2.234007407228944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6.5298861629421445</v>
      </c>
      <c r="Y82" s="17">
        <f t="shared" si="108"/>
        <v>3.7473695615068969</v>
      </c>
      <c r="Z82" s="17">
        <f t="shared" si="108"/>
        <v>6.9733068366772955E-3</v>
      </c>
      <c r="AA82" s="17">
        <f t="shared" si="108"/>
        <v>1.5873086103694423</v>
      </c>
      <c r="AB82" s="17">
        <f t="shared" ref="AB82:AB107" si="109">IF(AND(AB$6-Z$6 &lt;&gt; 0,Z8&lt;&gt;0,AB8&lt;&gt;0),(EXP(LN(AB8/Z8)/(AB$6-Z$6))-1)*100,0)</f>
        <v>1.0577747241631297</v>
      </c>
      <c r="AD82" s="17">
        <f t="shared" ref="AD82:AD107" si="110">IF($F$6-$D$6 &lt;&gt; 0,(EXP(LN(1+(AD45/100))/($F$6-$D$6))-1)*100,0)</f>
        <v>1.0577747241631297</v>
      </c>
      <c r="AE82" s="17">
        <f t="shared" ref="AE82:AE107" si="111">IF(Z8&gt;0,((1+(AE8/Z8))^(1/($F$6-$D$6))-1)*100,0)</f>
        <v>3.274093944442158</v>
      </c>
      <c r="AF82" s="17">
        <f t="shared" ref="AF82:AF107" si="112">IF($F$6-$D$6 &lt;&gt; 0,(EXP(LN(1+(AF45/100))/($F$6-$D$6))-1)*100,0)</f>
        <v>3.9666437527122067</v>
      </c>
    </row>
    <row r="83" spans="1:32" x14ac:dyDescent="0.3">
      <c r="A83" t="str">
        <f t="shared" si="95"/>
        <v>12 Other managers and proprietors</v>
      </c>
      <c r="B83" s="17">
        <f t="shared" si="96"/>
        <v>1.7361090177420824</v>
      </c>
      <c r="C83" s="17">
        <f t="shared" si="96"/>
        <v>0.78391847045311547</v>
      </c>
      <c r="D83" s="17">
        <f t="shared" si="96"/>
        <v>4.421891096998154</v>
      </c>
      <c r="E83" s="17">
        <f t="shared" si="96"/>
        <v>1.4490047717514054</v>
      </c>
      <c r="F83" s="17">
        <f t="shared" si="97"/>
        <v>2.4304416563410314</v>
      </c>
      <c r="H83" s="17">
        <f t="shared" si="98"/>
        <v>2.4304416563410314</v>
      </c>
      <c r="I83" s="17">
        <f t="shared" si="99"/>
        <v>3.6953911302173736</v>
      </c>
      <c r="J83" s="17">
        <f t="shared" si="100"/>
        <v>5.2585351410208814</v>
      </c>
      <c r="K83" s="39"/>
      <c r="L83" t="str">
        <f t="shared" si="101"/>
        <v>12 Other managers and proprietors</v>
      </c>
      <c r="M83" s="17">
        <f t="shared" si="102"/>
        <v>1.4278054098016968</v>
      </c>
      <c r="N83" s="17">
        <f t="shared" si="102"/>
        <v>-1.9710618272858693</v>
      </c>
      <c r="O83" s="17">
        <f t="shared" si="102"/>
        <v>4.9819892563815138</v>
      </c>
      <c r="P83" s="17">
        <f t="shared" si="102"/>
        <v>1.3805039126202123</v>
      </c>
      <c r="Q83" s="17">
        <f t="shared" si="103"/>
        <v>2.5670574704306448</v>
      </c>
      <c r="S83" s="17">
        <f t="shared" si="104"/>
        <v>2.5670574704306448</v>
      </c>
      <c r="T83" s="17">
        <f t="shared" si="105"/>
        <v>3.4642403359955942</v>
      </c>
      <c r="U83" s="17">
        <f t="shared" si="106"/>
        <v>5.1675984368422689</v>
      </c>
      <c r="W83" t="str">
        <f t="shared" si="107"/>
        <v>12 Other managers and proprietors</v>
      </c>
      <c r="X83" s="17">
        <f t="shared" si="108"/>
        <v>2.20579947386077</v>
      </c>
      <c r="Y83" s="17">
        <f t="shared" si="108"/>
        <v>4.9016554921678557</v>
      </c>
      <c r="Z83" s="17">
        <f t="shared" si="108"/>
        <v>3.6188931088514176</v>
      </c>
      <c r="AA83" s="17">
        <f t="shared" si="108"/>
        <v>1.5503759409307039</v>
      </c>
      <c r="AB83" s="17">
        <f t="shared" si="109"/>
        <v>2.2352523341509833</v>
      </c>
      <c r="AD83" s="17">
        <f t="shared" si="110"/>
        <v>2.2352523341509833</v>
      </c>
      <c r="AE83" s="17">
        <f t="shared" si="111"/>
        <v>4.0066315069751113</v>
      </c>
      <c r="AF83" s="17">
        <f t="shared" si="112"/>
        <v>5.3837359509417704</v>
      </c>
    </row>
    <row r="84" spans="1:32" x14ac:dyDescent="0.3">
      <c r="A84" t="str">
        <f t="shared" si="95"/>
        <v>21 Science, research, engineering and technology professionals</v>
      </c>
      <c r="B84" s="17">
        <f t="shared" si="96"/>
        <v>3.5760901362786646</v>
      </c>
      <c r="C84" s="17">
        <f t="shared" si="96"/>
        <v>4.0962909095431543</v>
      </c>
      <c r="D84" s="17">
        <f t="shared" si="96"/>
        <v>1.2494392658252584</v>
      </c>
      <c r="E84" s="17">
        <f t="shared" si="96"/>
        <v>1.0424387508099597</v>
      </c>
      <c r="F84" s="17">
        <f t="shared" si="97"/>
        <v>1.1113918569869208</v>
      </c>
      <c r="H84" s="17">
        <f t="shared" si="98"/>
        <v>1.1113918569869208</v>
      </c>
      <c r="I84" s="17">
        <f t="shared" si="99"/>
        <v>2.3269786531646686</v>
      </c>
      <c r="J84" s="17">
        <f t="shared" si="100"/>
        <v>3.1501362759194906</v>
      </c>
      <c r="K84" s="39"/>
      <c r="L84" t="str">
        <f t="shared" si="101"/>
        <v>21 Science, research, engineering and technology professionals</v>
      </c>
      <c r="M84" s="17">
        <f t="shared" si="102"/>
        <v>3.8197319329034585</v>
      </c>
      <c r="N84" s="17">
        <f t="shared" si="102"/>
        <v>-0.40330213181754004</v>
      </c>
      <c r="O84" s="17">
        <f t="shared" si="102"/>
        <v>0.55540402687659363</v>
      </c>
      <c r="P84" s="17">
        <f t="shared" si="102"/>
        <v>0.77618942294550575</v>
      </c>
      <c r="Q84" s="17">
        <f t="shared" si="103"/>
        <v>0.70254048014193327</v>
      </c>
      <c r="S84" s="17">
        <f t="shared" si="104"/>
        <v>0.70254048014193327</v>
      </c>
      <c r="T84" s="17">
        <f t="shared" si="105"/>
        <v>1.9969298013411185</v>
      </c>
      <c r="U84" s="17">
        <f t="shared" si="106"/>
        <v>2.5361804141202926</v>
      </c>
      <c r="W84" t="str">
        <f t="shared" si="107"/>
        <v>21 Science, research, engineering and technology professionals</v>
      </c>
      <c r="X84" s="17">
        <f t="shared" si="108"/>
        <v>2.6160021794590538</v>
      </c>
      <c r="Y84" s="17">
        <f t="shared" si="108"/>
        <v>22.352749529703431</v>
      </c>
      <c r="Z84" s="17">
        <f t="shared" si="108"/>
        <v>3.4157436016220011</v>
      </c>
      <c r="AA84" s="17">
        <f t="shared" si="108"/>
        <v>1.7734623742043931</v>
      </c>
      <c r="AB84" s="17">
        <f t="shared" si="109"/>
        <v>2.317971022931653</v>
      </c>
      <c r="AD84" s="17">
        <f t="shared" si="110"/>
        <v>2.317971022931653</v>
      </c>
      <c r="AE84" s="17">
        <f t="shared" si="111"/>
        <v>3.3220925703838056</v>
      </c>
      <c r="AF84" s="17">
        <f t="shared" si="112"/>
        <v>4.8775660146092026</v>
      </c>
    </row>
    <row r="85" spans="1:32" x14ac:dyDescent="0.3">
      <c r="A85" t="str">
        <f t="shared" si="95"/>
        <v>22 Health professionals</v>
      </c>
      <c r="B85" s="17">
        <f t="shared" si="96"/>
        <v>3.7438975318865308</v>
      </c>
      <c r="C85" s="17">
        <f t="shared" si="96"/>
        <v>-6.7814741326976957E-2</v>
      </c>
      <c r="D85" s="17">
        <f t="shared" si="96"/>
        <v>1.5223580087573296</v>
      </c>
      <c r="E85" s="17">
        <f t="shared" si="96"/>
        <v>0.84691487226054019</v>
      </c>
      <c r="F85" s="17">
        <f t="shared" si="97"/>
        <v>1.0715617886405404</v>
      </c>
      <c r="H85" s="17">
        <f t="shared" si="98"/>
        <v>1.0715617886405404</v>
      </c>
      <c r="I85" s="17">
        <f t="shared" si="99"/>
        <v>3.1142326346778271</v>
      </c>
      <c r="J85" s="17">
        <f t="shared" si="100"/>
        <v>3.8306668830322188</v>
      </c>
      <c r="K85" s="39"/>
      <c r="L85" t="str">
        <f t="shared" si="101"/>
        <v>22 Health professionals</v>
      </c>
      <c r="M85" s="17">
        <f t="shared" si="102"/>
        <v>3.5243680987232295</v>
      </c>
      <c r="N85" s="17">
        <f t="shared" si="102"/>
        <v>8.6547671312401597</v>
      </c>
      <c r="O85" s="17">
        <f t="shared" si="102"/>
        <v>1.3344310763687472</v>
      </c>
      <c r="P85" s="17">
        <f t="shared" si="102"/>
        <v>0.82635948145894922</v>
      </c>
      <c r="Q85" s="17">
        <f t="shared" si="103"/>
        <v>0.99543300558178061</v>
      </c>
      <c r="S85" s="17">
        <f t="shared" si="104"/>
        <v>0.99543300558178061</v>
      </c>
      <c r="T85" s="17">
        <f t="shared" si="105"/>
        <v>2.3417476977104057</v>
      </c>
      <c r="U85" s="17">
        <f t="shared" si="106"/>
        <v>3.0759945960151303</v>
      </c>
      <c r="W85" t="str">
        <f t="shared" si="107"/>
        <v>22 Health professionals</v>
      </c>
      <c r="X85" s="17">
        <f t="shared" si="108"/>
        <v>3.8161279957730443</v>
      </c>
      <c r="Y85" s="17">
        <f t="shared" si="108"/>
        <v>-2.9176254830947435</v>
      </c>
      <c r="Z85" s="17">
        <f t="shared" si="108"/>
        <v>1.5907295841893987</v>
      </c>
      <c r="AA85" s="17">
        <f t="shared" si="108"/>
        <v>0.85432759747177123</v>
      </c>
      <c r="AB85" s="17">
        <f t="shared" si="109"/>
        <v>1.0991999001131569</v>
      </c>
      <c r="AD85" s="17">
        <f t="shared" si="110"/>
        <v>1.0991999001131569</v>
      </c>
      <c r="AE85" s="17">
        <f t="shared" si="111"/>
        <v>3.377596970100849</v>
      </c>
      <c r="AF85" s="17">
        <f t="shared" si="112"/>
        <v>4.0884844202119242</v>
      </c>
    </row>
    <row r="86" spans="1:32" x14ac:dyDescent="0.3">
      <c r="A86" t="str">
        <f t="shared" si="95"/>
        <v>23 Teaching and other educational professionals</v>
      </c>
      <c r="B86" s="17">
        <f t="shared" si="96"/>
        <v>1.4284346015154714</v>
      </c>
      <c r="C86" s="17">
        <f t="shared" si="96"/>
        <v>4.1121363970319624</v>
      </c>
      <c r="D86" s="17">
        <f t="shared" si="96"/>
        <v>0.80361191242976915</v>
      </c>
      <c r="E86" s="17">
        <f t="shared" si="96"/>
        <v>0.84775524601012897</v>
      </c>
      <c r="F86" s="17">
        <f t="shared" si="97"/>
        <v>0.83303865401318511</v>
      </c>
      <c r="H86" s="17">
        <f t="shared" si="98"/>
        <v>0.83303865401318511</v>
      </c>
      <c r="I86" s="17">
        <f t="shared" si="99"/>
        <v>2.9324757826664882</v>
      </c>
      <c r="J86" s="17">
        <f t="shared" si="100"/>
        <v>3.4995068382592365</v>
      </c>
      <c r="K86" s="39"/>
      <c r="L86" t="str">
        <f t="shared" si="101"/>
        <v>23 Teaching and other educational professionals</v>
      </c>
      <c r="M86" s="17">
        <f t="shared" si="102"/>
        <v>-9.9963819731474501E-2</v>
      </c>
      <c r="N86" s="17">
        <f t="shared" si="102"/>
        <v>5.4849236352003672</v>
      </c>
      <c r="O86" s="17">
        <f t="shared" si="102"/>
        <v>1.4855204051345439</v>
      </c>
      <c r="P86" s="17">
        <f t="shared" si="102"/>
        <v>0.71317978330707188</v>
      </c>
      <c r="Q86" s="17">
        <f t="shared" si="103"/>
        <v>0.96997135121896783</v>
      </c>
      <c r="S86" s="17">
        <f t="shared" si="104"/>
        <v>0.96997135121896783</v>
      </c>
      <c r="T86" s="17">
        <f t="shared" si="105"/>
        <v>2.5850949925203537</v>
      </c>
      <c r="U86" s="17">
        <f t="shared" si="106"/>
        <v>3.2779698680778457</v>
      </c>
      <c r="W86" t="str">
        <f t="shared" si="107"/>
        <v>23 Teaching and other educational professionals</v>
      </c>
      <c r="X86" s="17">
        <f t="shared" si="108"/>
        <v>2.1947839716577544</v>
      </c>
      <c r="Y86" s="17">
        <f t="shared" si="108"/>
        <v>3.4618741327449909</v>
      </c>
      <c r="Z86" s="17">
        <f t="shared" si="108"/>
        <v>0.46757055327177888</v>
      </c>
      <c r="AA86" s="17">
        <f t="shared" si="108"/>
        <v>0.91549328570643684</v>
      </c>
      <c r="AB86" s="17">
        <f t="shared" si="109"/>
        <v>0.76596425672939006</v>
      </c>
      <c r="AD86" s="17">
        <f t="shared" si="110"/>
        <v>0.76596425672939006</v>
      </c>
      <c r="AE86" s="17">
        <f t="shared" si="111"/>
        <v>3.0945365013772097</v>
      </c>
      <c r="AF86" s="17">
        <f t="shared" si="112"/>
        <v>3.604164113011743</v>
      </c>
    </row>
    <row r="87" spans="1:32" x14ac:dyDescent="0.3">
      <c r="A87" t="str">
        <f t="shared" si="95"/>
        <v>24 Business, media and public service professionals</v>
      </c>
      <c r="B87" s="17">
        <f t="shared" si="96"/>
        <v>4.2931974148121332</v>
      </c>
      <c r="C87" s="17">
        <f t="shared" si="96"/>
        <v>7.6978935930769987</v>
      </c>
      <c r="D87" s="17">
        <f t="shared" si="96"/>
        <v>2.3803712424203205</v>
      </c>
      <c r="E87" s="17">
        <f t="shared" si="96"/>
        <v>1.1360650541712092</v>
      </c>
      <c r="F87" s="17">
        <f t="shared" si="97"/>
        <v>1.5491443092783719</v>
      </c>
      <c r="H87" s="17">
        <f t="shared" si="98"/>
        <v>1.5491443092783719</v>
      </c>
      <c r="I87" s="17">
        <f t="shared" si="99"/>
        <v>2.9778993295944467</v>
      </c>
      <c r="J87" s="17">
        <f t="shared" si="100"/>
        <v>4.0436059817568593</v>
      </c>
      <c r="K87" s="39"/>
      <c r="L87" t="str">
        <f t="shared" si="101"/>
        <v>24 Business, media and public service professionals</v>
      </c>
      <c r="M87" s="17">
        <f t="shared" si="102"/>
        <v>3.3100755434359863</v>
      </c>
      <c r="N87" s="17">
        <f t="shared" si="102"/>
        <v>5.4274966760539334</v>
      </c>
      <c r="O87" s="17">
        <f t="shared" si="102"/>
        <v>2.4617515788007971</v>
      </c>
      <c r="P87" s="17">
        <f t="shared" si="102"/>
        <v>0.86995115544465929</v>
      </c>
      <c r="Q87" s="17">
        <f t="shared" si="103"/>
        <v>1.3977844276637619</v>
      </c>
      <c r="S87" s="17">
        <f t="shared" si="104"/>
        <v>1.3977844276637619</v>
      </c>
      <c r="T87" s="17">
        <f t="shared" si="105"/>
        <v>2.6729444096753152</v>
      </c>
      <c r="U87" s="17">
        <f t="shared" si="106"/>
        <v>3.6690523346260662</v>
      </c>
      <c r="W87" t="str">
        <f t="shared" si="107"/>
        <v>24 Business, media and public service professionals</v>
      </c>
      <c r="X87" s="17">
        <f t="shared" si="108"/>
        <v>5.6512802303130716</v>
      </c>
      <c r="Y87" s="17">
        <f t="shared" si="108"/>
        <v>10.663486652168409</v>
      </c>
      <c r="Z87" s="17">
        <f t="shared" si="108"/>
        <v>2.2787390108694128</v>
      </c>
      <c r="AA87" s="17">
        <f t="shared" si="108"/>
        <v>1.4615081830840149</v>
      </c>
      <c r="AB87" s="17">
        <f t="shared" si="109"/>
        <v>1.7331903299776519</v>
      </c>
      <c r="AD87" s="17">
        <f t="shared" si="110"/>
        <v>1.7331903299776519</v>
      </c>
      <c r="AE87" s="17">
        <f t="shared" si="111"/>
        <v>3.3405408489656452</v>
      </c>
      <c r="AF87" s="17">
        <f t="shared" si="112"/>
        <v>4.4847960158694855</v>
      </c>
    </row>
    <row r="88" spans="1:32" x14ac:dyDescent="0.3">
      <c r="A88" t="str">
        <f t="shared" si="95"/>
        <v>31 Science, engineering and technology associate professionals</v>
      </c>
      <c r="B88" s="17">
        <f t="shared" si="96"/>
        <v>4.1842679848152597</v>
      </c>
      <c r="C88" s="17">
        <f t="shared" si="96"/>
        <v>8.4069709383173929</v>
      </c>
      <c r="D88" s="17">
        <f t="shared" si="96"/>
        <v>-2.3895461627081227</v>
      </c>
      <c r="E88" s="17">
        <f t="shared" si="96"/>
        <v>0.685808359493012</v>
      </c>
      <c r="F88" s="17">
        <f t="shared" si="97"/>
        <v>-0.34992770423570851</v>
      </c>
      <c r="H88" s="17">
        <f t="shared" si="98"/>
        <v>-0.34992770423570851</v>
      </c>
      <c r="I88" s="17">
        <f t="shared" si="99"/>
        <v>2.1558080378080824</v>
      </c>
      <c r="J88" s="17">
        <f t="shared" si="100"/>
        <v>1.8979709557647384</v>
      </c>
      <c r="K88" s="39"/>
      <c r="L88" t="str">
        <f t="shared" si="101"/>
        <v>31 Science, engineering and technology associate professionals</v>
      </c>
      <c r="M88" s="17">
        <f t="shared" si="102"/>
        <v>5.1243138644574193</v>
      </c>
      <c r="N88" s="17">
        <f t="shared" si="102"/>
        <v>3.8926481793232437</v>
      </c>
      <c r="O88" s="17">
        <f t="shared" si="102"/>
        <v>-3.7609992310232765</v>
      </c>
      <c r="P88" s="17">
        <f t="shared" si="102"/>
        <v>0.17088622203456083</v>
      </c>
      <c r="Q88" s="17">
        <f t="shared" si="103"/>
        <v>-1.1572744467560514</v>
      </c>
      <c r="S88" s="17">
        <f t="shared" si="104"/>
        <v>-1.1572744467560514</v>
      </c>
      <c r="T88" s="17">
        <f t="shared" si="105"/>
        <v>1.8071096656536945</v>
      </c>
      <c r="U88" s="17">
        <f t="shared" si="106"/>
        <v>0.92428494519034565</v>
      </c>
      <c r="W88" t="str">
        <f t="shared" si="107"/>
        <v>31 Science, engineering and technology associate professionals</v>
      </c>
      <c r="X88" s="17">
        <f t="shared" si="108"/>
        <v>1.5923568340330929</v>
      </c>
      <c r="Y88" s="17">
        <f t="shared" si="108"/>
        <v>21.968834492035661</v>
      </c>
      <c r="Z88" s="17">
        <f t="shared" si="108"/>
        <v>0.80644473790263405</v>
      </c>
      <c r="AA88" s="17">
        <f t="shared" si="108"/>
        <v>1.6632634505866717</v>
      </c>
      <c r="AB88" s="17">
        <f t="shared" si="109"/>
        <v>1.3768510711312354</v>
      </c>
      <c r="AD88" s="17">
        <f t="shared" si="110"/>
        <v>1.3768510711312354</v>
      </c>
      <c r="AE88" s="17">
        <f t="shared" si="111"/>
        <v>2.9790069703105493</v>
      </c>
      <c r="AF88" s="17">
        <f t="shared" si="112"/>
        <v>3.9223622167527505</v>
      </c>
    </row>
    <row r="89" spans="1:32" x14ac:dyDescent="0.3">
      <c r="A89" t="str">
        <f t="shared" si="95"/>
        <v>32 Health and social care associate professionals</v>
      </c>
      <c r="B89" s="17">
        <f t="shared" si="96"/>
        <v>3.0438624675322989</v>
      </c>
      <c r="C89" s="17">
        <f t="shared" si="96"/>
        <v>2.3279854135191291</v>
      </c>
      <c r="D89" s="17">
        <f t="shared" si="96"/>
        <v>0.29583622618363226</v>
      </c>
      <c r="E89" s="17">
        <f t="shared" si="96"/>
        <v>0.91105618545679334</v>
      </c>
      <c r="F89" s="17">
        <f t="shared" si="97"/>
        <v>0.70556469457463411</v>
      </c>
      <c r="H89" s="17">
        <f t="shared" si="98"/>
        <v>0.70556469457463411</v>
      </c>
      <c r="I89" s="17">
        <f t="shared" si="99"/>
        <v>3.1697221838275169</v>
      </c>
      <c r="J89" s="17">
        <f t="shared" si="100"/>
        <v>3.6338655001320275</v>
      </c>
      <c r="K89" s="39"/>
      <c r="L89" t="str">
        <f t="shared" si="101"/>
        <v>32 Health and social care associate professionals</v>
      </c>
      <c r="M89" s="17">
        <f t="shared" si="102"/>
        <v>0.88177465586434245</v>
      </c>
      <c r="N89" s="17">
        <f t="shared" si="102"/>
        <v>9.5311749257193554</v>
      </c>
      <c r="O89" s="17">
        <f t="shared" si="102"/>
        <v>-1.7572589047938458</v>
      </c>
      <c r="P89" s="17">
        <f t="shared" si="102"/>
        <v>0.57861162174979164</v>
      </c>
      <c r="Q89" s="17">
        <f t="shared" si="103"/>
        <v>-0.20611855241899901</v>
      </c>
      <c r="S89" s="17">
        <f t="shared" si="104"/>
        <v>-0.20611855241899901</v>
      </c>
      <c r="T89" s="17">
        <f t="shared" si="105"/>
        <v>2.4886043002237068</v>
      </c>
      <c r="U89" s="17">
        <f t="shared" si="106"/>
        <v>2.3431545700463685</v>
      </c>
      <c r="W89" t="str">
        <f t="shared" si="107"/>
        <v>32 Health and social care associate professionals</v>
      </c>
      <c r="X89" s="17">
        <f t="shared" si="108"/>
        <v>3.6717907433603925</v>
      </c>
      <c r="Y89" s="17">
        <f t="shared" si="108"/>
        <v>0.37441168876086728</v>
      </c>
      <c r="Z89" s="17">
        <f t="shared" si="108"/>
        <v>0.87241200834313748</v>
      </c>
      <c r="AA89" s="17">
        <f t="shared" si="108"/>
        <v>0.99568343352562927</v>
      </c>
      <c r="AB89" s="17">
        <f t="shared" si="109"/>
        <v>0.95457622930450459</v>
      </c>
      <c r="AD89" s="17">
        <f t="shared" si="110"/>
        <v>0.95457622930450459</v>
      </c>
      <c r="AE89" s="17">
        <f t="shared" si="111"/>
        <v>3.3597749723232484</v>
      </c>
      <c r="AF89" s="17">
        <f t="shared" si="112"/>
        <v>3.9762496282075954</v>
      </c>
    </row>
    <row r="90" spans="1:32" x14ac:dyDescent="0.3">
      <c r="A90" t="str">
        <f t="shared" si="95"/>
        <v>33 Protective service occupations</v>
      </c>
      <c r="B90" s="17">
        <f t="shared" si="96"/>
        <v>0.69754488714577345</v>
      </c>
      <c r="C90" s="17">
        <f t="shared" si="96"/>
        <v>6.2267524312202394</v>
      </c>
      <c r="D90" s="17">
        <f t="shared" si="96"/>
        <v>3.5934289721214263</v>
      </c>
      <c r="E90" s="17">
        <f t="shared" si="96"/>
        <v>1.4252626972135252</v>
      </c>
      <c r="F90" s="17">
        <f t="shared" si="97"/>
        <v>2.1428952180943206</v>
      </c>
      <c r="H90" s="17">
        <f t="shared" si="98"/>
        <v>2.1428952180943206</v>
      </c>
      <c r="I90" s="17">
        <f t="shared" si="99"/>
        <v>2.3915097797698515</v>
      </c>
      <c r="J90" s="17">
        <f t="shared" si="100"/>
        <v>3.9959936690723064</v>
      </c>
      <c r="K90" s="39"/>
      <c r="L90" t="str">
        <f t="shared" si="101"/>
        <v>33 Protective service occupations</v>
      </c>
      <c r="M90" s="17">
        <f t="shared" si="102"/>
        <v>5.3335436350354648E-2</v>
      </c>
      <c r="N90" s="17">
        <f t="shared" si="102"/>
        <v>4.257685876746975</v>
      </c>
      <c r="O90" s="17">
        <f t="shared" si="102"/>
        <v>2.724701311712141</v>
      </c>
      <c r="P90" s="17">
        <f t="shared" si="102"/>
        <v>0.80293185061230954</v>
      </c>
      <c r="Q90" s="17">
        <f t="shared" si="103"/>
        <v>1.4394933800401022</v>
      </c>
      <c r="S90" s="17">
        <f t="shared" si="104"/>
        <v>1.4394933800401022</v>
      </c>
      <c r="T90" s="17">
        <f t="shared" si="105"/>
        <v>1.9124871109477137</v>
      </c>
      <c r="U90" s="17">
        <f t="shared" si="106"/>
        <v>3.042992439865877</v>
      </c>
      <c r="W90" t="str">
        <f t="shared" si="107"/>
        <v>33 Protective service occupations</v>
      </c>
      <c r="X90" s="17">
        <f t="shared" si="108"/>
        <v>2.8865730173627258</v>
      </c>
      <c r="Y90" s="17">
        <f t="shared" si="108"/>
        <v>12.46814023477263</v>
      </c>
      <c r="Z90" s="17">
        <f t="shared" si="108"/>
        <v>5.9900861330995703</v>
      </c>
      <c r="AA90" s="17">
        <f t="shared" si="108"/>
        <v>2.8526643140416752</v>
      </c>
      <c r="AB90" s="17">
        <f t="shared" si="109"/>
        <v>3.8880144274352713</v>
      </c>
      <c r="AD90" s="17">
        <f t="shared" si="110"/>
        <v>3.8880144274352713</v>
      </c>
      <c r="AE90" s="17">
        <f t="shared" si="111"/>
        <v>3.6412280155705412</v>
      </c>
      <c r="AF90" s="17">
        <f t="shared" si="112"/>
        <v>6.2479631065487817</v>
      </c>
    </row>
    <row r="91" spans="1:32" x14ac:dyDescent="0.3">
      <c r="A91" t="str">
        <f t="shared" si="95"/>
        <v>34 Culture, media and sports occupations</v>
      </c>
      <c r="B91" s="17">
        <f t="shared" si="96"/>
        <v>3.3668960068844456E-4</v>
      </c>
      <c r="C91" s="17">
        <f t="shared" si="96"/>
        <v>8.1763411640362271</v>
      </c>
      <c r="D91" s="17">
        <f t="shared" si="96"/>
        <v>-0.14702181290581207</v>
      </c>
      <c r="E91" s="17">
        <f t="shared" si="96"/>
        <v>1.0306991698010748</v>
      </c>
      <c r="F91" s="17">
        <f t="shared" si="97"/>
        <v>0.63659013431613953</v>
      </c>
      <c r="H91" s="17">
        <f t="shared" si="98"/>
        <v>0.63659013431613953</v>
      </c>
      <c r="I91" s="17">
        <f t="shared" si="99"/>
        <v>2.6490902929612981</v>
      </c>
      <c r="J91" s="17">
        <f t="shared" si="100"/>
        <v>3.096839199826773</v>
      </c>
      <c r="K91" s="39"/>
      <c r="L91" t="str">
        <f t="shared" si="101"/>
        <v>34 Culture, media and sports occupations</v>
      </c>
      <c r="M91" s="17">
        <f t="shared" si="102"/>
        <v>-0.45909719072475541</v>
      </c>
      <c r="N91" s="17">
        <f t="shared" si="102"/>
        <v>2.5979961729498235</v>
      </c>
      <c r="O91" s="17">
        <f t="shared" si="102"/>
        <v>3.9891752701137762E-4</v>
      </c>
      <c r="P91" s="17">
        <f t="shared" si="102"/>
        <v>1.0026825609206869</v>
      </c>
      <c r="Q91" s="17">
        <f t="shared" si="103"/>
        <v>0.66747676917036092</v>
      </c>
      <c r="S91" s="17">
        <f t="shared" si="104"/>
        <v>0.66747676917036092</v>
      </c>
      <c r="T91" s="17">
        <f t="shared" si="105"/>
        <v>2.3493925603913501</v>
      </c>
      <c r="U91" s="17">
        <f t="shared" si="106"/>
        <v>2.8381257955581773</v>
      </c>
      <c r="W91" t="str">
        <f t="shared" si="107"/>
        <v>34 Culture, media and sports occupations</v>
      </c>
      <c r="X91" s="17">
        <f t="shared" si="108"/>
        <v>0.56155045124255398</v>
      </c>
      <c r="Y91" s="17">
        <f t="shared" si="108"/>
        <v>14.818931131948677</v>
      </c>
      <c r="Z91" s="17">
        <f t="shared" si="108"/>
        <v>-0.30484515377937615</v>
      </c>
      <c r="AA91" s="17">
        <f t="shared" si="108"/>
        <v>1.0608907220250652</v>
      </c>
      <c r="AB91" s="17">
        <f t="shared" si="109"/>
        <v>0.6035791668120849</v>
      </c>
      <c r="AD91" s="17">
        <f t="shared" si="110"/>
        <v>0.6035791668120849</v>
      </c>
      <c r="AE91" s="17">
        <f t="shared" si="111"/>
        <v>2.9550767289384661</v>
      </c>
      <c r="AF91" s="17">
        <f t="shared" si="112"/>
        <v>3.3624914025680352</v>
      </c>
    </row>
    <row r="92" spans="1:32" x14ac:dyDescent="0.3">
      <c r="A92" t="str">
        <f t="shared" si="95"/>
        <v>35 Business and public service associate professionals</v>
      </c>
      <c r="B92" s="17">
        <f t="shared" si="96"/>
        <v>1.8892505341293386</v>
      </c>
      <c r="C92" s="17">
        <f t="shared" si="96"/>
        <v>2.9494672580690384</v>
      </c>
      <c r="D92" s="17">
        <f t="shared" si="96"/>
        <v>-0.66468905090083519</v>
      </c>
      <c r="E92" s="17">
        <f t="shared" si="96"/>
        <v>0.43620530143464453</v>
      </c>
      <c r="F92" s="17">
        <f t="shared" si="97"/>
        <v>6.7891509494089064E-2</v>
      </c>
      <c r="H92" s="17">
        <f t="shared" si="98"/>
        <v>6.7891509494089064E-2</v>
      </c>
      <c r="I92" s="17">
        <f t="shared" si="99"/>
        <v>2.5299780254092408</v>
      </c>
      <c r="J92" s="17">
        <f t="shared" si="100"/>
        <v>2.5779013537720497</v>
      </c>
      <c r="K92" s="39"/>
      <c r="L92" t="str">
        <f t="shared" si="101"/>
        <v>35 Business and public service associate professionals</v>
      </c>
      <c r="M92" s="17">
        <f t="shared" si="102"/>
        <v>1.331605667963176</v>
      </c>
      <c r="N92" s="17">
        <f t="shared" si="102"/>
        <v>3.3372225095795294</v>
      </c>
      <c r="O92" s="17">
        <f t="shared" si="102"/>
        <v>-1.3085923114939724</v>
      </c>
      <c r="P92" s="17">
        <f t="shared" si="102"/>
        <v>1.4403135736373862E-2</v>
      </c>
      <c r="Q92" s="17">
        <f t="shared" si="103"/>
        <v>-0.4285542805616438</v>
      </c>
      <c r="S92" s="17">
        <f t="shared" si="104"/>
        <v>-0.4285542805616438</v>
      </c>
      <c r="T92" s="17">
        <f t="shared" si="105"/>
        <v>2.0975183371632067</v>
      </c>
      <c r="U92" s="17">
        <f t="shared" si="106"/>
        <v>1.7796465327700739</v>
      </c>
      <c r="W92" t="str">
        <f t="shared" si="107"/>
        <v>35 Business and public service associate professionals</v>
      </c>
      <c r="X92" s="17">
        <f t="shared" si="108"/>
        <v>2.5277354706280342</v>
      </c>
      <c r="Y92" s="17">
        <f t="shared" si="108"/>
        <v>2.5183335785671224</v>
      </c>
      <c r="Z92" s="17">
        <f t="shared" si="108"/>
        <v>3.766889769560855E-2</v>
      </c>
      <c r="AA92" s="17">
        <f t="shared" si="108"/>
        <v>0.86152311238871793</v>
      </c>
      <c r="AB92" s="17">
        <f t="shared" si="109"/>
        <v>0.58615392006222677</v>
      </c>
      <c r="AD92" s="17">
        <f t="shared" si="110"/>
        <v>0.58615392006222677</v>
      </c>
      <c r="AE92" s="17">
        <f t="shared" si="111"/>
        <v>2.9861231311473668</v>
      </c>
      <c r="AF92" s="17">
        <f t="shared" si="112"/>
        <v>3.379992347048133</v>
      </c>
    </row>
    <row r="93" spans="1:32" x14ac:dyDescent="0.3">
      <c r="A93" t="str">
        <f t="shared" si="95"/>
        <v>41 Administrative occupations</v>
      </c>
      <c r="B93" s="17">
        <f t="shared" si="96"/>
        <v>-0.36783423931791015</v>
      </c>
      <c r="C93" s="17">
        <f t="shared" si="96"/>
        <v>4.1172064255075025</v>
      </c>
      <c r="D93" s="17">
        <f t="shared" si="96"/>
        <v>-1.6218417267986118</v>
      </c>
      <c r="E93" s="17">
        <f t="shared" si="96"/>
        <v>-0.54267027663513767</v>
      </c>
      <c r="F93" s="17">
        <f t="shared" si="97"/>
        <v>-0.90370306633366093</v>
      </c>
      <c r="H93" s="17">
        <f t="shared" si="98"/>
        <v>-0.90370306633366093</v>
      </c>
      <c r="I93" s="17">
        <f t="shared" si="99"/>
        <v>2.5314681157680763</v>
      </c>
      <c r="J93" s="17">
        <f t="shared" si="100"/>
        <v>1.9074924288582151</v>
      </c>
      <c r="K93" s="39"/>
      <c r="L93" t="str">
        <f t="shared" si="101"/>
        <v>41 Administrative occupations</v>
      </c>
      <c r="M93" s="17">
        <f t="shared" si="102"/>
        <v>-1.1525006942263327</v>
      </c>
      <c r="N93" s="17">
        <f t="shared" si="102"/>
        <v>18.26445374684862</v>
      </c>
      <c r="O93" s="17">
        <f t="shared" si="102"/>
        <v>-0.97044837707052078</v>
      </c>
      <c r="P93" s="17">
        <f t="shared" si="102"/>
        <v>0.77494475284165532</v>
      </c>
      <c r="Q93" s="17">
        <f t="shared" si="103"/>
        <v>0.1897554892951625</v>
      </c>
      <c r="S93" s="17">
        <f t="shared" si="104"/>
        <v>0.1897554892951625</v>
      </c>
      <c r="T93" s="17">
        <f t="shared" si="105"/>
        <v>2.1067115056003116</v>
      </c>
      <c r="U93" s="17">
        <f t="shared" si="106"/>
        <v>2.2489354399955808</v>
      </c>
      <c r="W93" t="str">
        <f t="shared" si="107"/>
        <v>41 Administrative occupations</v>
      </c>
      <c r="X93" s="17">
        <f t="shared" si="108"/>
        <v>-5.251916432706949E-2</v>
      </c>
      <c r="Y93" s="17">
        <f t="shared" si="108"/>
        <v>-1.4124980389991215</v>
      </c>
      <c r="Z93" s="17">
        <f t="shared" si="108"/>
        <v>-1.9333049385372281</v>
      </c>
      <c r="AA93" s="17">
        <f t="shared" si="108"/>
        <v>-1.2539374206803178</v>
      </c>
      <c r="AB93" s="17">
        <f t="shared" si="109"/>
        <v>-1.4809145887154651</v>
      </c>
      <c r="AD93" s="17">
        <f t="shared" si="110"/>
        <v>-1.4809145887154651</v>
      </c>
      <c r="AE93" s="17">
        <f t="shared" si="111"/>
        <v>2.7224450391652999</v>
      </c>
      <c r="AF93" s="17">
        <f t="shared" si="112"/>
        <v>1.7417119246678991</v>
      </c>
    </row>
    <row r="94" spans="1:32" x14ac:dyDescent="0.3">
      <c r="A94" t="str">
        <f t="shared" si="95"/>
        <v>42 Secretarial and related occupations</v>
      </c>
      <c r="B94" s="17">
        <f t="shared" si="96"/>
        <v>-2.0902131502126053</v>
      </c>
      <c r="C94" s="17">
        <f t="shared" si="96"/>
        <v>-2.6649056064497745</v>
      </c>
      <c r="D94" s="17">
        <f t="shared" si="96"/>
        <v>0.82580264915248502</v>
      </c>
      <c r="E94" s="17">
        <f t="shared" si="96"/>
        <v>-2.2863505186662358</v>
      </c>
      <c r="F94" s="17">
        <f t="shared" si="97"/>
        <v>-1.2597887675764419</v>
      </c>
      <c r="H94" s="17">
        <f t="shared" si="98"/>
        <v>-1.2597887675764419</v>
      </c>
      <c r="I94" s="17">
        <f t="shared" si="99"/>
        <v>2.8029709421916849</v>
      </c>
      <c r="J94" s="17">
        <f t="shared" si="100"/>
        <v>1.9737238905230603</v>
      </c>
      <c r="K94" s="39"/>
      <c r="L94" t="str">
        <f t="shared" si="101"/>
        <v>42 Secretarial and related occupations</v>
      </c>
      <c r="M94" s="17">
        <f t="shared" si="102"/>
        <v>-5.8458207740620827</v>
      </c>
      <c r="N94" s="17">
        <f t="shared" si="102"/>
        <v>-3.7093782680907017</v>
      </c>
      <c r="O94" s="17">
        <f t="shared" si="102"/>
        <v>5.5317325963347042</v>
      </c>
      <c r="P94" s="17">
        <f t="shared" si="102"/>
        <v>1.9057956221462558</v>
      </c>
      <c r="Q94" s="17">
        <f t="shared" si="103"/>
        <v>3.1003830487686512</v>
      </c>
      <c r="S94" s="17">
        <f t="shared" si="104"/>
        <v>3.1003830487686512</v>
      </c>
      <c r="T94" s="17">
        <f t="shared" si="105"/>
        <v>2.5180143648775744</v>
      </c>
      <c r="U94" s="17">
        <f t="shared" si="106"/>
        <v>4.8438061762114515</v>
      </c>
      <c r="W94" t="str">
        <f t="shared" si="107"/>
        <v>42 Secretarial and related occupations</v>
      </c>
      <c r="X94" s="17">
        <f t="shared" si="108"/>
        <v>-1.8163206469731685</v>
      </c>
      <c r="Y94" s="17">
        <f t="shared" si="108"/>
        <v>-2.5963749768889932</v>
      </c>
      <c r="Z94" s="17">
        <f t="shared" si="108"/>
        <v>0.48845770425165469</v>
      </c>
      <c r="AA94" s="17">
        <f t="shared" si="108"/>
        <v>-2.7174997894689135</v>
      </c>
      <c r="AB94" s="17">
        <f t="shared" si="109"/>
        <v>-1.6603761704954811</v>
      </c>
      <c r="AD94" s="17">
        <f t="shared" si="110"/>
        <v>-1.6603761704954811</v>
      </c>
      <c r="AE94" s="17">
        <f t="shared" si="111"/>
        <v>2.8210773607418638</v>
      </c>
      <c r="AF94" s="17">
        <f t="shared" si="112"/>
        <v>1.742371095017492</v>
      </c>
    </row>
    <row r="95" spans="1:32" x14ac:dyDescent="0.3">
      <c r="A95" t="str">
        <f t="shared" si="95"/>
        <v>51 Skilled agricultural and related trades</v>
      </c>
      <c r="B95" s="17">
        <f t="shared" si="96"/>
        <v>0.28564994759778806</v>
      </c>
      <c r="C95" s="17">
        <f t="shared" si="96"/>
        <v>-10.265627349225282</v>
      </c>
      <c r="D95" s="17">
        <f t="shared" si="96"/>
        <v>0.49939400908618481</v>
      </c>
      <c r="E95" s="17">
        <f t="shared" si="96"/>
        <v>1.070913638935278</v>
      </c>
      <c r="F95" s="17">
        <f t="shared" si="97"/>
        <v>0.8800468813655149</v>
      </c>
      <c r="H95" s="17">
        <f t="shared" si="98"/>
        <v>0.8800468813655149</v>
      </c>
      <c r="I95" s="17">
        <f t="shared" si="99"/>
        <v>3.1697637102364062</v>
      </c>
      <c r="J95" s="17">
        <f t="shared" si="100"/>
        <v>3.751206157780973</v>
      </c>
      <c r="K95" s="39"/>
      <c r="L95" t="str">
        <f t="shared" si="101"/>
        <v>51 Skilled agricultural and related trades</v>
      </c>
      <c r="M95" s="17">
        <f t="shared" si="102"/>
        <v>0.16566435951177461</v>
      </c>
      <c r="N95" s="17">
        <f t="shared" si="102"/>
        <v>-14.194799496471111</v>
      </c>
      <c r="O95" s="17">
        <f t="shared" si="102"/>
        <v>-4.548126190864199E-2</v>
      </c>
      <c r="P95" s="17">
        <f t="shared" si="102"/>
        <v>0.7562221608710562</v>
      </c>
      <c r="Q95" s="17">
        <f t="shared" si="103"/>
        <v>0.48827575406369395</v>
      </c>
      <c r="S95" s="17">
        <f t="shared" si="104"/>
        <v>0.48827575406369395</v>
      </c>
      <c r="T95" s="17">
        <f t="shared" si="105"/>
        <v>2.9063423862398796</v>
      </c>
      <c r="U95" s="17">
        <f t="shared" si="106"/>
        <v>3.2371535694385445</v>
      </c>
      <c r="W95" t="str">
        <f t="shared" si="107"/>
        <v>51 Skilled agricultural and related trades</v>
      </c>
      <c r="X95" s="17">
        <f t="shared" si="108"/>
        <v>0.90277111119596576</v>
      </c>
      <c r="Y95" s="17">
        <f t="shared" si="108"/>
        <v>9.5766581949292764</v>
      </c>
      <c r="Z95" s="17">
        <f t="shared" si="108"/>
        <v>2.5457863591095142</v>
      </c>
      <c r="AA95" s="17">
        <f t="shared" si="108"/>
        <v>2.102003169723532</v>
      </c>
      <c r="AB95" s="17">
        <f t="shared" si="109"/>
        <v>2.2497170944500544</v>
      </c>
      <c r="AD95" s="17">
        <f t="shared" si="110"/>
        <v>2.2497170944500544</v>
      </c>
      <c r="AE95" s="17">
        <f t="shared" si="111"/>
        <v>4.1281385105122359</v>
      </c>
      <c r="AF95" s="17">
        <f t="shared" si="112"/>
        <v>5.4942912290066648</v>
      </c>
    </row>
    <row r="96" spans="1:32" x14ac:dyDescent="0.3">
      <c r="A96" t="str">
        <f t="shared" si="95"/>
        <v>52 Skilled metal, electrical and electronic trades</v>
      </c>
      <c r="B96" s="17">
        <f t="shared" si="96"/>
        <v>0.52426124684463726</v>
      </c>
      <c r="C96" s="17">
        <f t="shared" si="96"/>
        <v>-12.951586906941159</v>
      </c>
      <c r="D96" s="17">
        <f t="shared" si="96"/>
        <v>-9.9550673246262544E-2</v>
      </c>
      <c r="E96" s="17">
        <f t="shared" si="96"/>
        <v>-0.54564232150866587</v>
      </c>
      <c r="F96" s="17">
        <f t="shared" si="97"/>
        <v>-0.39716687477455714</v>
      </c>
      <c r="H96" s="17">
        <f t="shared" si="98"/>
        <v>-0.39716687477455714</v>
      </c>
      <c r="I96" s="17">
        <f t="shared" si="99"/>
        <v>2.1427690921888898</v>
      </c>
      <c r="J96" s="17">
        <f t="shared" si="100"/>
        <v>1.8498625279466774</v>
      </c>
      <c r="K96" s="39"/>
      <c r="L96" t="str">
        <f t="shared" si="101"/>
        <v>52 Skilled metal, electrical and electronic trades</v>
      </c>
      <c r="M96" s="17">
        <f t="shared" si="102"/>
        <v>0.24231076953706854</v>
      </c>
      <c r="N96" s="17">
        <f t="shared" si="102"/>
        <v>-12.679233139185497</v>
      </c>
      <c r="O96" s="17">
        <f t="shared" si="102"/>
        <v>-0.76979577072535665</v>
      </c>
      <c r="P96" s="17">
        <f t="shared" si="102"/>
        <v>-0.75328140850947634</v>
      </c>
      <c r="Q96" s="17">
        <f t="shared" si="103"/>
        <v>-0.75878650126981473</v>
      </c>
      <c r="S96" s="17">
        <f t="shared" si="104"/>
        <v>-0.75878650126981473</v>
      </c>
      <c r="T96" s="17">
        <f t="shared" si="105"/>
        <v>2.0187964021554095</v>
      </c>
      <c r="U96" s="17">
        <f t="shared" si="106"/>
        <v>1.4532735880649739</v>
      </c>
      <c r="W96" t="str">
        <f t="shared" si="107"/>
        <v>52 Skilled metal, electrical and electronic trades</v>
      </c>
      <c r="X96" s="17">
        <f t="shared" si="108"/>
        <v>13.598970790047815</v>
      </c>
      <c r="Y96" s="17">
        <f t="shared" si="108"/>
        <v>-22.276222346521081</v>
      </c>
      <c r="Z96" s="17">
        <f t="shared" si="108"/>
        <v>17.731340184849898</v>
      </c>
      <c r="AA96" s="17">
        <f t="shared" si="108"/>
        <v>2.3958591610500957</v>
      </c>
      <c r="AB96" s="17">
        <f t="shared" si="109"/>
        <v>7.2718141855306895</v>
      </c>
      <c r="AD96" s="17">
        <f t="shared" si="110"/>
        <v>7.2718141855306895</v>
      </c>
      <c r="AE96" s="17">
        <f t="shared" si="111"/>
        <v>5.7973285424768539</v>
      </c>
      <c r="AF96" s="17">
        <f t="shared" si="112"/>
        <v>10.030737887352782</v>
      </c>
    </row>
    <row r="97" spans="1:32" x14ac:dyDescent="0.3">
      <c r="A97" t="str">
        <f t="shared" si="95"/>
        <v>53 Skilled construction and building trades</v>
      </c>
      <c r="B97" s="17">
        <f t="shared" si="96"/>
        <v>-0.29616148678105469</v>
      </c>
      <c r="C97" s="17">
        <f t="shared" si="96"/>
        <v>-15.409374358041173</v>
      </c>
      <c r="D97" s="17">
        <f t="shared" si="96"/>
        <v>1.0590375306029465</v>
      </c>
      <c r="E97" s="17">
        <f t="shared" si="96"/>
        <v>-0.58178625043422416</v>
      </c>
      <c r="F97" s="17">
        <f t="shared" si="97"/>
        <v>-3.7826653931716248E-2</v>
      </c>
      <c r="H97" s="17">
        <f t="shared" si="98"/>
        <v>-3.7826653931716248E-2</v>
      </c>
      <c r="I97" s="17">
        <f t="shared" si="99"/>
        <v>2.4311507107449781</v>
      </c>
      <c r="J97" s="17">
        <f t="shared" si="100"/>
        <v>2.4041484056430695</v>
      </c>
      <c r="K97" s="39"/>
      <c r="L97" t="str">
        <f t="shared" si="101"/>
        <v>53 Skilled construction and building trades</v>
      </c>
      <c r="M97" s="17">
        <f t="shared" si="102"/>
        <v>-0.40260923110317925</v>
      </c>
      <c r="N97" s="17">
        <f t="shared" si="102"/>
        <v>-15.745680258098837</v>
      </c>
      <c r="O97" s="17">
        <f t="shared" si="102"/>
        <v>1.0360521213270246</v>
      </c>
      <c r="P97" s="17">
        <f t="shared" si="102"/>
        <v>-0.65703114468029788</v>
      </c>
      <c r="Q97" s="17">
        <f t="shared" si="103"/>
        <v>-9.5846140036293104E-2</v>
      </c>
      <c r="S97" s="17">
        <f t="shared" si="104"/>
        <v>-9.5846140036293104E-2</v>
      </c>
      <c r="T97" s="17">
        <f t="shared" si="105"/>
        <v>2.4073183924513186</v>
      </c>
      <c r="U97" s="17">
        <f t="shared" si="106"/>
        <v>2.338759568439297</v>
      </c>
      <c r="W97" t="str">
        <f t="shared" si="107"/>
        <v>53 Skilled construction and building trades</v>
      </c>
      <c r="X97" s="17">
        <f t="shared" si="108"/>
        <v>5.6674146507437406</v>
      </c>
      <c r="Y97" s="17">
        <f t="shared" si="108"/>
        <v>0.87560671634070442</v>
      </c>
      <c r="Z97" s="17">
        <f t="shared" si="108"/>
        <v>1.9716157326580719</v>
      </c>
      <c r="AA97" s="17">
        <f t="shared" si="108"/>
        <v>1.992792892507067</v>
      </c>
      <c r="AB97" s="17">
        <f t="shared" si="109"/>
        <v>1.9857333506014818</v>
      </c>
      <c r="AD97" s="17">
        <f t="shared" si="110"/>
        <v>1.9857333506014818</v>
      </c>
      <c r="AE97" s="17">
        <f t="shared" si="111"/>
        <v>3.3353943755737081</v>
      </c>
      <c r="AF97" s="17">
        <f t="shared" si="112"/>
        <v>4.6552859445128325</v>
      </c>
    </row>
    <row r="98" spans="1:32" x14ac:dyDescent="0.3">
      <c r="A98" t="str">
        <f t="shared" si="95"/>
        <v>54 Textiles, printing and other skilled trades</v>
      </c>
      <c r="B98" s="17">
        <f t="shared" si="96"/>
        <v>-2.1944537784958973</v>
      </c>
      <c r="C98" s="17">
        <f t="shared" si="96"/>
        <v>-5.5138293739155353</v>
      </c>
      <c r="D98" s="17">
        <f t="shared" si="96"/>
        <v>7.5555784523118064E-3</v>
      </c>
      <c r="E98" s="17">
        <f t="shared" si="96"/>
        <v>6.5451504447300302E-2</v>
      </c>
      <c r="F98" s="17">
        <f t="shared" si="97"/>
        <v>4.6149139312401388E-2</v>
      </c>
      <c r="H98" s="17">
        <f t="shared" si="98"/>
        <v>4.6149139312401388E-2</v>
      </c>
      <c r="I98" s="17">
        <f t="shared" si="99"/>
        <v>2.4296435445250175</v>
      </c>
      <c r="J98" s="17">
        <f t="shared" si="100"/>
        <v>2.4626522052739075</v>
      </c>
      <c r="K98" s="39"/>
      <c r="L98" t="str">
        <f t="shared" si="101"/>
        <v>54 Textiles, printing and other skilled trades</v>
      </c>
      <c r="M98" s="17">
        <f t="shared" si="102"/>
        <v>-2.4308101285263728</v>
      </c>
      <c r="N98" s="17">
        <f t="shared" si="102"/>
        <v>-12.382852150574985</v>
      </c>
      <c r="O98" s="17">
        <f t="shared" si="102"/>
        <v>-6.3165632304507113E-2</v>
      </c>
      <c r="P98" s="17">
        <f t="shared" si="102"/>
        <v>-2.3705144927821387E-2</v>
      </c>
      <c r="Q98" s="17">
        <f t="shared" si="103"/>
        <v>-3.6860371654368063E-2</v>
      </c>
      <c r="S98" s="17">
        <f t="shared" si="104"/>
        <v>-3.6860371654368063E-2</v>
      </c>
      <c r="T98" s="17">
        <f t="shared" si="105"/>
        <v>1.8917207907413136</v>
      </c>
      <c r="U98" s="17">
        <f t="shared" si="106"/>
        <v>1.8633846849076985</v>
      </c>
      <c r="W98" t="str">
        <f t="shared" si="107"/>
        <v>54 Textiles, printing and other skilled trades</v>
      </c>
      <c r="X98" s="17">
        <f t="shared" si="108"/>
        <v>-1.7833369488820972</v>
      </c>
      <c r="Y98" s="17">
        <f t="shared" si="108"/>
        <v>6.2382559197921683</v>
      </c>
      <c r="Z98" s="17">
        <f t="shared" si="108"/>
        <v>0.10700445427875849</v>
      </c>
      <c r="AA98" s="17">
        <f t="shared" si="108"/>
        <v>0.18899864894053042</v>
      </c>
      <c r="AB98" s="17">
        <f t="shared" si="109"/>
        <v>0.16165979136650854</v>
      </c>
      <c r="AD98" s="17">
        <f t="shared" si="110"/>
        <v>0.16165979136650854</v>
      </c>
      <c r="AE98" s="17">
        <f t="shared" si="111"/>
        <v>3.1271296402480608</v>
      </c>
      <c r="AF98" s="17">
        <f t="shared" si="112"/>
        <v>3.232614455570304</v>
      </c>
    </row>
    <row r="99" spans="1:32" x14ac:dyDescent="0.3">
      <c r="A99" t="str">
        <f t="shared" si="95"/>
        <v>61 Caring personal service occupations</v>
      </c>
      <c r="B99" s="17">
        <f t="shared" si="96"/>
        <v>0.72545700366948296</v>
      </c>
      <c r="C99" s="17">
        <f t="shared" si="96"/>
        <v>-3.0539134386224354</v>
      </c>
      <c r="D99" s="17">
        <f t="shared" si="96"/>
        <v>1.7109478762954877</v>
      </c>
      <c r="E99" s="17">
        <f t="shared" si="96"/>
        <v>0.90920718547691237</v>
      </c>
      <c r="F99" s="17">
        <f t="shared" si="97"/>
        <v>1.175749416158367</v>
      </c>
      <c r="H99" s="17">
        <f t="shared" si="98"/>
        <v>1.175749416158367</v>
      </c>
      <c r="I99" s="17">
        <f t="shared" si="99"/>
        <v>3.2771603537990579</v>
      </c>
      <c r="J99" s="17">
        <f t="shared" si="100"/>
        <v>4.0489262331410369</v>
      </c>
      <c r="K99" s="39"/>
      <c r="L99" t="str">
        <f t="shared" si="101"/>
        <v>61 Caring personal service occupations</v>
      </c>
      <c r="M99" s="17">
        <f t="shared" si="102"/>
        <v>0.88953540252549868</v>
      </c>
      <c r="N99" s="17">
        <f t="shared" si="102"/>
        <v>-2.9485042809759499</v>
      </c>
      <c r="O99" s="17">
        <f t="shared" si="102"/>
        <v>4.2660871250345567</v>
      </c>
      <c r="P99" s="17">
        <f t="shared" si="102"/>
        <v>1.5594269319900489</v>
      </c>
      <c r="Q99" s="17">
        <f t="shared" si="103"/>
        <v>2.4537485775073753</v>
      </c>
      <c r="S99" s="17">
        <f t="shared" si="104"/>
        <v>2.4537485775073753</v>
      </c>
      <c r="T99" s="17">
        <f t="shared" si="105"/>
        <v>3.0491937489278254</v>
      </c>
      <c r="U99" s="17">
        <f t="shared" si="106"/>
        <v>4.7562187954683477</v>
      </c>
      <c r="W99" t="str">
        <f t="shared" si="107"/>
        <v>61 Caring personal service occupations</v>
      </c>
      <c r="X99" s="17">
        <f t="shared" si="108"/>
        <v>0.69566116301227332</v>
      </c>
      <c r="Y99" s="17">
        <f t="shared" si="108"/>
        <v>-3.0731474687474725</v>
      </c>
      <c r="Z99" s="17">
        <f t="shared" si="108"/>
        <v>1.2152514033022088</v>
      </c>
      <c r="AA99" s="17">
        <f t="shared" si="108"/>
        <v>0.76642107637765466</v>
      </c>
      <c r="AB99" s="17">
        <f t="shared" si="109"/>
        <v>0.9158096039923791</v>
      </c>
      <c r="AD99" s="17">
        <f t="shared" si="110"/>
        <v>0.9158096039923791</v>
      </c>
      <c r="AE99" s="17">
        <f t="shared" si="111"/>
        <v>3.3180599433815461</v>
      </c>
      <c r="AF99" s="17">
        <f t="shared" si="112"/>
        <v>3.9121144222493021</v>
      </c>
    </row>
    <row r="100" spans="1:32" x14ac:dyDescent="0.3">
      <c r="A100" t="str">
        <f t="shared" si="95"/>
        <v>62 Leisure, travel and related personal service occupations</v>
      </c>
      <c r="B100" s="17">
        <f t="shared" si="96"/>
        <v>2.0445949149226594</v>
      </c>
      <c r="C100" s="17">
        <f t="shared" si="96"/>
        <v>-8.0595063406408869</v>
      </c>
      <c r="D100" s="17">
        <f t="shared" si="96"/>
        <v>0.42388787472349421</v>
      </c>
      <c r="E100" s="17">
        <f t="shared" si="96"/>
        <v>0.35756597362124332</v>
      </c>
      <c r="F100" s="17">
        <f t="shared" si="97"/>
        <v>0.37966840586167727</v>
      </c>
      <c r="H100" s="17">
        <f t="shared" si="98"/>
        <v>0.37966840586167727</v>
      </c>
      <c r="I100" s="17">
        <f t="shared" si="99"/>
        <v>2.8507270348222979</v>
      </c>
      <c r="J100" s="17">
        <f t="shared" si="100"/>
        <v>3.1092051575973834</v>
      </c>
      <c r="K100" s="39"/>
      <c r="L100" t="str">
        <f t="shared" si="101"/>
        <v>62 Leisure, travel and related personal service occupations</v>
      </c>
      <c r="M100" s="17">
        <f t="shared" si="102"/>
        <v>2.9877342605011403</v>
      </c>
      <c r="N100" s="17">
        <f t="shared" si="102"/>
        <v>-5.1143561056608107</v>
      </c>
      <c r="O100" s="17">
        <f t="shared" si="102"/>
        <v>0.70382106377875342</v>
      </c>
      <c r="P100" s="17">
        <f t="shared" si="102"/>
        <v>0.91647468294835388</v>
      </c>
      <c r="Q100" s="17">
        <f t="shared" si="103"/>
        <v>0.84554029498695726</v>
      </c>
      <c r="S100" s="17">
        <f t="shared" si="104"/>
        <v>0.84554029498695726</v>
      </c>
      <c r="T100" s="17">
        <f t="shared" si="105"/>
        <v>2.5646487900984338</v>
      </c>
      <c r="U100" s="17">
        <f t="shared" si="106"/>
        <v>3.1686805099724991</v>
      </c>
      <c r="W100" t="str">
        <f t="shared" si="107"/>
        <v>62 Leisure, travel and related personal service occupations</v>
      </c>
      <c r="X100" s="17">
        <f t="shared" si="108"/>
        <v>1.6433043243318401</v>
      </c>
      <c r="Y100" s="17">
        <f t="shared" si="108"/>
        <v>-9.3544134911146433</v>
      </c>
      <c r="Z100" s="17">
        <f t="shared" si="108"/>
        <v>0.293995371953093</v>
      </c>
      <c r="AA100" s="17">
        <f t="shared" si="108"/>
        <v>8.5050698285704662E-2</v>
      </c>
      <c r="AB100" s="17">
        <f t="shared" si="109"/>
        <v>0.15465051144698538</v>
      </c>
      <c r="AD100" s="17">
        <f t="shared" si="110"/>
        <v>0.15465051144698538</v>
      </c>
      <c r="AE100" s="17">
        <f t="shared" si="111"/>
        <v>2.9787376438023649</v>
      </c>
      <c r="AF100" s="17">
        <f t="shared" si="112"/>
        <v>3.0816699651114998</v>
      </c>
    </row>
    <row r="101" spans="1:32" x14ac:dyDescent="0.3">
      <c r="A101" t="str">
        <f t="shared" si="95"/>
        <v>63 Community and civil enforcement occupations</v>
      </c>
      <c r="B101" s="17">
        <f t="shared" si="96"/>
        <v>-3.6297584463488852</v>
      </c>
      <c r="C101" s="17">
        <f t="shared" si="96"/>
        <v>27.605736602332076</v>
      </c>
      <c r="D101" s="17">
        <f t="shared" si="96"/>
        <v>-4.0835852486562185</v>
      </c>
      <c r="E101" s="17">
        <f t="shared" si="96"/>
        <v>0.76840425046160732</v>
      </c>
      <c r="F101" s="17">
        <f t="shared" si="97"/>
        <v>-0.87560116228070362</v>
      </c>
      <c r="H101" s="17">
        <f t="shared" si="98"/>
        <v>-0.87560116228070362</v>
      </c>
      <c r="I101" s="17">
        <f t="shared" si="99"/>
        <v>2.3328336860505727</v>
      </c>
      <c r="J101" s="17">
        <f t="shared" si="100"/>
        <v>1.7104340175347899</v>
      </c>
      <c r="K101" s="39"/>
      <c r="L101" t="str">
        <f t="shared" si="101"/>
        <v>63 Community and civil enforcement occupations</v>
      </c>
      <c r="M101" s="17">
        <f t="shared" si="102"/>
        <v>-6.7673959386469473</v>
      </c>
      <c r="N101" s="17">
        <f t="shared" si="102"/>
        <v>46.716231012460298</v>
      </c>
      <c r="O101" s="17">
        <f t="shared" si="102"/>
        <v>-7.8354629644838525</v>
      </c>
      <c r="P101" s="17">
        <f t="shared" si="102"/>
        <v>1.2617153989649355</v>
      </c>
      <c r="Q101" s="17">
        <f t="shared" si="103"/>
        <v>-1.866308641714165</v>
      </c>
      <c r="S101" s="17">
        <f t="shared" si="104"/>
        <v>-1.866308641714165</v>
      </c>
      <c r="T101" s="17">
        <f t="shared" si="105"/>
        <v>1.7511329576954004</v>
      </c>
      <c r="U101" s="17">
        <f t="shared" si="106"/>
        <v>0.33389613961785081</v>
      </c>
      <c r="W101" t="str">
        <f t="shared" si="107"/>
        <v>63 Community and civil enforcement occupations</v>
      </c>
      <c r="X101" s="17">
        <f t="shared" si="108"/>
        <v>5.2379911906840881</v>
      </c>
      <c r="Y101" s="17">
        <f t="shared" si="108"/>
        <v>-12.460114295366099</v>
      </c>
      <c r="Z101" s="17">
        <f t="shared" si="108"/>
        <v>5.8338109265929639</v>
      </c>
      <c r="AA101" s="17">
        <f t="shared" si="108"/>
        <v>-0.15639105140394793</v>
      </c>
      <c r="AB101" s="17">
        <f t="shared" si="109"/>
        <v>1.8016909994700292</v>
      </c>
      <c r="AD101" s="17">
        <f t="shared" si="110"/>
        <v>1.8016909994700292</v>
      </c>
      <c r="AE101" s="17">
        <f t="shared" si="111"/>
        <v>4.073969847938641</v>
      </c>
      <c r="AF101" s="17">
        <f t="shared" si="112"/>
        <v>5.1614660570214355</v>
      </c>
    </row>
    <row r="102" spans="1:32" x14ac:dyDescent="0.3">
      <c r="A102" t="str">
        <f t="shared" si="95"/>
        <v>71 Sales occupations</v>
      </c>
      <c r="B102" s="17">
        <f t="shared" si="96"/>
        <v>-1.277797360291788</v>
      </c>
      <c r="C102" s="17">
        <f t="shared" si="96"/>
        <v>-2.1100081351413946</v>
      </c>
      <c r="D102" s="17">
        <f t="shared" si="96"/>
        <v>-1.4428102285699684</v>
      </c>
      <c r="E102" s="17">
        <f t="shared" si="96"/>
        <v>-0.49647726486444776</v>
      </c>
      <c r="F102" s="17">
        <f t="shared" si="97"/>
        <v>-0.81292691960828112</v>
      </c>
      <c r="H102" s="17">
        <f t="shared" si="98"/>
        <v>-0.81292691960828112</v>
      </c>
      <c r="I102" s="17">
        <f t="shared" si="99"/>
        <v>2.3853594113152798</v>
      </c>
      <c r="J102" s="17">
        <f t="shared" si="100"/>
        <v>1.8110452561395984</v>
      </c>
      <c r="K102" s="39"/>
      <c r="L102" t="str">
        <f t="shared" si="101"/>
        <v>71 Sales occupations</v>
      </c>
      <c r="M102" s="17">
        <f t="shared" si="102"/>
        <v>-0.15799969335661412</v>
      </c>
      <c r="N102" s="17">
        <f t="shared" si="102"/>
        <v>-2.1534481720981602</v>
      </c>
      <c r="O102" s="17">
        <f t="shared" si="102"/>
        <v>-1.1498750377594513</v>
      </c>
      <c r="P102" s="17">
        <f t="shared" si="102"/>
        <v>-0.18517771609918299</v>
      </c>
      <c r="Q102" s="17">
        <f t="shared" si="103"/>
        <v>-0.5077850524015437</v>
      </c>
      <c r="S102" s="17">
        <f t="shared" si="104"/>
        <v>-0.5077850524015437</v>
      </c>
      <c r="T102" s="17">
        <f t="shared" si="105"/>
        <v>1.8586149471478519</v>
      </c>
      <c r="U102" s="17">
        <f t="shared" si="106"/>
        <v>1.4696487554782589</v>
      </c>
      <c r="W102" t="str">
        <f t="shared" si="107"/>
        <v>71 Sales occupations</v>
      </c>
      <c r="X102" s="17">
        <f t="shared" si="108"/>
        <v>-2.0408438743389046</v>
      </c>
      <c r="Y102" s="17">
        <f t="shared" si="108"/>
        <v>-2.0789658240326081</v>
      </c>
      <c r="Z102" s="17">
        <f t="shared" si="108"/>
        <v>-1.6541343134096942</v>
      </c>
      <c r="AA102" s="17">
        <f t="shared" si="108"/>
        <v>-0.73021337134920872</v>
      </c>
      <c r="AB102" s="17">
        <f t="shared" si="109"/>
        <v>-1.0391474444202853</v>
      </c>
      <c r="AD102" s="17">
        <f t="shared" si="110"/>
        <v>-1.0391474444202853</v>
      </c>
      <c r="AE102" s="17">
        <f t="shared" si="111"/>
        <v>2.7395313734569049</v>
      </c>
      <c r="AF102" s="17">
        <f t="shared" si="112"/>
        <v>2.0453692476773755</v>
      </c>
    </row>
    <row r="103" spans="1:32" x14ac:dyDescent="0.3">
      <c r="A103" t="str">
        <f t="shared" si="95"/>
        <v>72 Customer service occupations</v>
      </c>
      <c r="B103" s="17">
        <f t="shared" si="96"/>
        <v>2.0690210771044049</v>
      </c>
      <c r="C103" s="17">
        <f t="shared" si="96"/>
        <v>2.2447503300301541</v>
      </c>
      <c r="D103" s="17">
        <f t="shared" si="96"/>
        <v>5.183929811985144</v>
      </c>
      <c r="E103" s="17">
        <f t="shared" si="96"/>
        <v>1.3372283655368022</v>
      </c>
      <c r="F103" s="17">
        <f t="shared" si="97"/>
        <v>2.6035716235012663</v>
      </c>
      <c r="H103" s="17">
        <f t="shared" si="98"/>
        <v>2.6035716235012663</v>
      </c>
      <c r="I103" s="17">
        <f t="shared" si="99"/>
        <v>3.1893642534718492</v>
      </c>
      <c r="J103" s="17">
        <f t="shared" si="100"/>
        <v>4.9762811543711649</v>
      </c>
      <c r="K103" s="39"/>
      <c r="L103" t="str">
        <f t="shared" si="101"/>
        <v>72 Customer service occupations</v>
      </c>
      <c r="M103" s="17">
        <f t="shared" si="102"/>
        <v>-1.4905246633815095</v>
      </c>
      <c r="N103" s="17">
        <f t="shared" si="102"/>
        <v>15.828347015041544</v>
      </c>
      <c r="O103" s="17">
        <f t="shared" si="102"/>
        <v>6.7046702224405674</v>
      </c>
      <c r="P103" s="17">
        <f t="shared" si="102"/>
        <v>1.653359139222732</v>
      </c>
      <c r="Q103" s="17">
        <f t="shared" si="103"/>
        <v>3.3099851144751113</v>
      </c>
      <c r="S103" s="17">
        <f t="shared" si="104"/>
        <v>3.3099851144751113</v>
      </c>
      <c r="T103" s="17">
        <f t="shared" si="105"/>
        <v>2.6875748427672708</v>
      </c>
      <c r="U103" s="17">
        <f t="shared" si="106"/>
        <v>5.1316367159909282</v>
      </c>
      <c r="W103" t="str">
        <f t="shared" si="107"/>
        <v>72 Customer service occupations</v>
      </c>
      <c r="X103" s="17">
        <f t="shared" si="108"/>
        <v>4.2062373084281068</v>
      </c>
      <c r="Y103" s="17">
        <f t="shared" si="108"/>
        <v>-4.8380337274894769</v>
      </c>
      <c r="Z103" s="17">
        <f t="shared" si="108"/>
        <v>4.1711464539145648</v>
      </c>
      <c r="AA103" s="17">
        <f t="shared" si="108"/>
        <v>1.1054043141485836</v>
      </c>
      <c r="AB103" s="17">
        <f t="shared" si="109"/>
        <v>2.1171600103596422</v>
      </c>
      <c r="AD103" s="17">
        <f t="shared" si="110"/>
        <v>2.1171600103596422</v>
      </c>
      <c r="AE103" s="17">
        <f t="shared" si="111"/>
        <v>3.4909648424181539</v>
      </c>
      <c r="AF103" s="17">
        <f t="shared" si="112"/>
        <v>4.8759873320035618</v>
      </c>
    </row>
    <row r="104" spans="1:32" x14ac:dyDescent="0.3">
      <c r="A104" t="str">
        <f t="shared" si="95"/>
        <v>81 Process, plant and machine operatives</v>
      </c>
      <c r="B104" s="17">
        <f t="shared" si="96"/>
        <v>-0.76551982696938525</v>
      </c>
      <c r="C104" s="17">
        <f t="shared" si="96"/>
        <v>-12.207059293781064</v>
      </c>
      <c r="D104" s="17">
        <f t="shared" si="96"/>
        <v>3.7785384782074605</v>
      </c>
      <c r="E104" s="17">
        <f t="shared" si="96"/>
        <v>-0.20191077333471252</v>
      </c>
      <c r="F104" s="17">
        <f t="shared" si="97"/>
        <v>1.107646384199712</v>
      </c>
      <c r="H104" s="17">
        <f t="shared" si="98"/>
        <v>1.107646384199712</v>
      </c>
      <c r="I104" s="17">
        <f t="shared" si="99"/>
        <v>2.5625320653230421</v>
      </c>
      <c r="J104" s="17">
        <f t="shared" si="100"/>
        <v>3.3583237854366121</v>
      </c>
      <c r="K104" s="39"/>
      <c r="L104" t="str">
        <f t="shared" si="101"/>
        <v>81 Process, plant and machine operatives</v>
      </c>
      <c r="M104" s="17">
        <f t="shared" si="102"/>
        <v>-1.2811735267725499</v>
      </c>
      <c r="N104" s="17">
        <f t="shared" si="102"/>
        <v>-11.66370121563679</v>
      </c>
      <c r="O104" s="17">
        <f t="shared" si="102"/>
        <v>3.5150331759806308</v>
      </c>
      <c r="P104" s="17">
        <f t="shared" si="102"/>
        <v>-0.31051557178121136</v>
      </c>
      <c r="Q104" s="17">
        <f t="shared" si="103"/>
        <v>0.94869487637894157</v>
      </c>
      <c r="S104" s="17">
        <f t="shared" si="104"/>
        <v>0.94869487637894157</v>
      </c>
      <c r="T104" s="17">
        <f t="shared" si="105"/>
        <v>2.3546310176353558</v>
      </c>
      <c r="U104" s="17">
        <f t="shared" si="106"/>
        <v>3.0526067009718938</v>
      </c>
      <c r="W104" t="str">
        <f t="shared" si="107"/>
        <v>81 Process, plant and machine operatives</v>
      </c>
      <c r="X104" s="17">
        <f t="shared" si="108"/>
        <v>1.0092791442089188</v>
      </c>
      <c r="Y104" s="17">
        <f t="shared" si="108"/>
        <v>-13.973308027280707</v>
      </c>
      <c r="Z104" s="17">
        <f t="shared" si="108"/>
        <v>4.6392387858626538</v>
      </c>
      <c r="AA104" s="17">
        <f t="shared" si="108"/>
        <v>0.1347077608211622</v>
      </c>
      <c r="AB104" s="17">
        <f t="shared" si="109"/>
        <v>1.6142494458680767</v>
      </c>
      <c r="AD104" s="17">
        <f t="shared" si="110"/>
        <v>1.6142494458680767</v>
      </c>
      <c r="AE104" s="17">
        <f t="shared" si="111"/>
        <v>3.2166923226277344</v>
      </c>
      <c r="AF104" s="17">
        <f t="shared" si="112"/>
        <v>4.2959651866659287</v>
      </c>
    </row>
    <row r="105" spans="1:32" x14ac:dyDescent="0.3">
      <c r="A105" t="str">
        <f t="shared" si="95"/>
        <v>82 Transport and mobile machine drivers and operatives</v>
      </c>
      <c r="B105" s="17">
        <f t="shared" si="96"/>
        <v>2.8374103873298528</v>
      </c>
      <c r="C105" s="17">
        <f t="shared" si="96"/>
        <v>-10.516534164472635</v>
      </c>
      <c r="D105" s="17">
        <f t="shared" si="96"/>
        <v>1.5095522497039937</v>
      </c>
      <c r="E105" s="17">
        <f t="shared" si="96"/>
        <v>-1.0718795270914239E-2</v>
      </c>
      <c r="F105" s="17">
        <f t="shared" si="97"/>
        <v>0.49349139431071887</v>
      </c>
      <c r="H105" s="17">
        <f t="shared" si="98"/>
        <v>0.49349139431071887</v>
      </c>
      <c r="I105" s="17">
        <f t="shared" si="99"/>
        <v>3.0253499279005336</v>
      </c>
      <c r="J105" s="17">
        <f t="shared" si="100"/>
        <v>3.354495358188414</v>
      </c>
      <c r="K105" s="39"/>
      <c r="L105" t="str">
        <f t="shared" si="101"/>
        <v>82 Transport and mobile machine drivers and operatives</v>
      </c>
      <c r="M105" s="17">
        <f t="shared" si="102"/>
        <v>2.9914841637274314</v>
      </c>
      <c r="N105" s="17">
        <f t="shared" si="102"/>
        <v>-10.805491661805334</v>
      </c>
      <c r="O105" s="17">
        <f t="shared" si="102"/>
        <v>1.0330871131650099</v>
      </c>
      <c r="P105" s="17">
        <f t="shared" si="102"/>
        <v>-0.14057736948884791</v>
      </c>
      <c r="Q105" s="17">
        <f t="shared" si="103"/>
        <v>0.24912135758599074</v>
      </c>
      <c r="S105" s="17">
        <f t="shared" si="104"/>
        <v>0.24912135758599074</v>
      </c>
      <c r="T105" s="17">
        <f t="shared" si="105"/>
        <v>2.9262737790350046</v>
      </c>
      <c r="U105" s="17">
        <f t="shared" si="106"/>
        <v>3.0936456009970081</v>
      </c>
      <c r="W105" t="str">
        <f t="shared" si="107"/>
        <v>82 Transport and mobile machine drivers and operatives</v>
      </c>
      <c r="X105" s="17">
        <f t="shared" si="108"/>
        <v>0.41670523350276767</v>
      </c>
      <c r="Y105" s="17">
        <f t="shared" si="108"/>
        <v>-5.678277495411443</v>
      </c>
      <c r="Z105" s="17">
        <f t="shared" si="108"/>
        <v>8.0767419452666189</v>
      </c>
      <c r="AA105" s="17">
        <f t="shared" si="108"/>
        <v>1.3608394523103584</v>
      </c>
      <c r="AB105" s="17">
        <f t="shared" si="109"/>
        <v>3.5517748817075701</v>
      </c>
      <c r="AD105" s="17">
        <f t="shared" si="110"/>
        <v>3.5517748817075701</v>
      </c>
      <c r="AE105" s="17">
        <f t="shared" si="111"/>
        <v>4.439309890316756</v>
      </c>
      <c r="AF105" s="17">
        <f t="shared" si="112"/>
        <v>6.5949646479530166</v>
      </c>
    </row>
    <row r="106" spans="1:32" x14ac:dyDescent="0.3">
      <c r="A106" t="str">
        <f t="shared" si="95"/>
        <v>91 Elementary trades and related occupations</v>
      </c>
      <c r="B106" s="17">
        <f t="shared" si="96"/>
        <v>-2.5864090940220574</v>
      </c>
      <c r="C106" s="17">
        <f t="shared" si="96"/>
        <v>-11.013465682235768</v>
      </c>
      <c r="D106" s="17">
        <f t="shared" si="96"/>
        <v>-3.3626240531507756</v>
      </c>
      <c r="E106" s="17">
        <f t="shared" si="96"/>
        <v>-0.51523856698539872</v>
      </c>
      <c r="F106" s="17">
        <f t="shared" si="97"/>
        <v>-1.4735689558833975</v>
      </c>
      <c r="H106" s="17">
        <f t="shared" si="98"/>
        <v>-1.4735689558833975</v>
      </c>
      <c r="I106" s="17">
        <f t="shared" si="99"/>
        <v>1.9232950017533224</v>
      </c>
      <c r="J106" s="17">
        <f t="shared" si="100"/>
        <v>0.82487389264032096</v>
      </c>
      <c r="K106" s="39"/>
      <c r="L106" t="str">
        <f t="shared" si="101"/>
        <v>91 Elementary trades and related occupations</v>
      </c>
      <c r="M106" s="17">
        <f t="shared" si="102"/>
        <v>-2.4744582048160213</v>
      </c>
      <c r="N106" s="17">
        <f t="shared" si="102"/>
        <v>-8.6374128897812703</v>
      </c>
      <c r="O106" s="17">
        <f t="shared" si="102"/>
        <v>-3.571397345320293</v>
      </c>
      <c r="P106" s="17">
        <f t="shared" si="102"/>
        <v>-0.55141429325276103</v>
      </c>
      <c r="Q106" s="17">
        <f t="shared" si="103"/>
        <v>-1.5684406326793021</v>
      </c>
      <c r="S106" s="17">
        <f t="shared" si="104"/>
        <v>-1.5684406326793021</v>
      </c>
      <c r="T106" s="17">
        <f t="shared" si="105"/>
        <v>1.6362778291035829</v>
      </c>
      <c r="U106" s="17">
        <f t="shared" si="106"/>
        <v>0.41780647898164158</v>
      </c>
      <c r="W106" t="str">
        <f t="shared" si="107"/>
        <v>91 Elementary trades and related occupations</v>
      </c>
      <c r="X106" s="17">
        <f t="shared" si="108"/>
        <v>-2.954708223259217</v>
      </c>
      <c r="Y106" s="17">
        <f t="shared" si="108"/>
        <v>-18.927401447037472</v>
      </c>
      <c r="Z106" s="17">
        <f t="shared" si="108"/>
        <v>-2.5946846935303913</v>
      </c>
      <c r="AA106" s="17">
        <f t="shared" si="108"/>
        <v>-0.38708383440118066</v>
      </c>
      <c r="AB106" s="17">
        <f t="shared" si="109"/>
        <v>-1.1284547655709853</v>
      </c>
      <c r="AD106" s="17">
        <f t="shared" si="110"/>
        <v>-1.1284547655709853</v>
      </c>
      <c r="AE106" s="17">
        <f t="shared" si="111"/>
        <v>2.9098842899422328</v>
      </c>
      <c r="AF106" s="17">
        <f t="shared" si="112"/>
        <v>2.1759498127293053</v>
      </c>
    </row>
    <row r="107" spans="1:32" x14ac:dyDescent="0.3">
      <c r="A107" t="str">
        <f t="shared" si="95"/>
        <v>92 Elementary administration and service occupations</v>
      </c>
      <c r="B107" s="17">
        <f t="shared" si="96"/>
        <v>0.31174551842354514</v>
      </c>
      <c r="C107" s="17">
        <f t="shared" si="96"/>
        <v>-8.440222249863794</v>
      </c>
      <c r="D107" s="17">
        <f t="shared" si="96"/>
        <v>0.51559971405030769</v>
      </c>
      <c r="E107" s="17">
        <f t="shared" si="96"/>
        <v>-0.32662081681797961</v>
      </c>
      <c r="F107" s="17">
        <f t="shared" si="97"/>
        <v>-4.6667681845247166E-2</v>
      </c>
      <c r="H107" s="17">
        <f t="shared" si="98"/>
        <v>-4.6667681845247166E-2</v>
      </c>
      <c r="I107" s="17">
        <f t="shared" si="99"/>
        <v>2.711781055855722</v>
      </c>
      <c r="J107" s="17">
        <f t="shared" si="100"/>
        <v>2.679728485837729</v>
      </c>
      <c r="K107" s="39"/>
      <c r="L107" t="str">
        <f t="shared" si="101"/>
        <v>92 Elementary administration and service occupations</v>
      </c>
      <c r="M107" s="17">
        <f t="shared" si="102"/>
        <v>-0.55578804216771527</v>
      </c>
      <c r="N107" s="17">
        <f t="shared" si="102"/>
        <v>-5.4773443607767147</v>
      </c>
      <c r="O107" s="17">
        <f t="shared" si="102"/>
        <v>1.3338205477786413</v>
      </c>
      <c r="P107" s="17">
        <f t="shared" si="102"/>
        <v>-0.39490617566407815</v>
      </c>
      <c r="Q107" s="17">
        <f t="shared" si="103"/>
        <v>0.17803412604813218</v>
      </c>
      <c r="S107" s="17">
        <f t="shared" si="104"/>
        <v>0.17803412604813218</v>
      </c>
      <c r="T107" s="17">
        <f t="shared" si="105"/>
        <v>2.3715302175031372</v>
      </c>
      <c r="U107" s="17">
        <f t="shared" si="106"/>
        <v>2.5002332784370696</v>
      </c>
      <c r="W107" t="str">
        <f t="shared" si="107"/>
        <v>92 Elementary administration and service occupations</v>
      </c>
      <c r="X107" s="17">
        <f t="shared" si="108"/>
        <v>1.1431191517831341</v>
      </c>
      <c r="Y107" s="17">
        <f t="shared" si="108"/>
        <v>-11.161855785554287</v>
      </c>
      <c r="Z107" s="17">
        <f t="shared" si="108"/>
        <v>-0.31069217895243195</v>
      </c>
      <c r="AA107" s="17">
        <f t="shared" si="108"/>
        <v>-0.25464957173917391</v>
      </c>
      <c r="AB107" s="17">
        <f t="shared" si="109"/>
        <v>-0.27333394056074933</v>
      </c>
      <c r="AD107" s="17">
        <f t="shared" si="110"/>
        <v>-0.27333394056074933</v>
      </c>
      <c r="AE107" s="17">
        <f t="shared" si="111"/>
        <v>3.0297418146897348</v>
      </c>
      <c r="AF107" s="17">
        <f t="shared" si="112"/>
        <v>2.8510138570381427</v>
      </c>
    </row>
    <row r="108" spans="1:32" x14ac:dyDescent="0.3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3">
      <c r="A109" s="23" t="str">
        <f>A35</f>
        <v>All occupations</v>
      </c>
      <c r="B109" s="25">
        <f>IF(AND(C$6-B$6 &lt;&gt; 0,B35&lt;&gt;0,C35&lt;&gt;0),(EXP(LN(C35/B35)/(C$6-B$6))-1)*100,0)</f>
        <v>1.3311698180238585</v>
      </c>
      <c r="C109" s="25">
        <f>IF(AND(D$6-C$6 &lt;&gt; 0,C35&lt;&gt;0,D35&lt;&gt;0),(EXP(LN(D35/C35)/(D$6-C$6))-1)*100,0)</f>
        <v>-1.1686419909961776</v>
      </c>
      <c r="D109" s="25">
        <f>IF(AND(E$6-D$6 &lt;&gt; 0,D35&lt;&gt;0,E35&lt;&gt;0),(EXP(LN(E35/D35)/(E$6-D$6))-1)*100,0)</f>
        <v>0.59245370532130526</v>
      </c>
      <c r="E109" s="25">
        <f>IF(AND(F$6-E$6 &lt;&gt; 0,E35&lt;&gt;0,F35&lt;&gt;0),(EXP(LN(F35/E35)/(F$6-E$6))-1)*100,0)</f>
        <v>0.4196727942317624</v>
      </c>
      <c r="F109" s="25">
        <f t="shared" ref="F109" si="113">IF(AND(F$6-D$6 &lt;&gt; 0,D35&lt;&gt;0,F35&lt;&gt;0),(EXP(LN(F35/D35)/(F$6-D$6))-1)*100,0)</f>
        <v>0.477233431154378</v>
      </c>
      <c r="H109" s="25">
        <f>IF($F$6-$D$6 &lt;&gt; 0,(EXP(LN(1+(H72/100))/($F$6-$D$6))-1)*100,0)</f>
        <v>0.477233431154378</v>
      </c>
      <c r="I109" s="25">
        <f>IF(D35&gt;0,((1+(I35/D35))^(1/($F$6-$D$6))-1)*100,0)</f>
        <v>2.7488732002161065</v>
      </c>
      <c r="J109" s="25">
        <f t="shared" ref="J109" si="114">IF($F$6-$D$6 &lt;&gt; 0,(EXP(LN(1+(J72/100))/($F$6-$D$6))-1)*100,0)</f>
        <v>3.0789576855359879</v>
      </c>
      <c r="L109" s="23" t="str">
        <f>L35</f>
        <v>All occupations</v>
      </c>
      <c r="M109" s="25">
        <f>IF(AND(N$6-M$6 &lt;&gt; 0,M35&lt;&gt;0,N35&lt;&gt;0),(EXP(LN(N35/M35)/(N$6-M$6))-1)*100,0)</f>
        <v>1.1301573635468465</v>
      </c>
      <c r="N109" s="25">
        <f>IF(AND(O$6-N$6 &lt;&gt; 0,N35&lt;&gt;0,O35&lt;&gt;0),(EXP(LN(O35/N35)/(O$6-N$6))-1)*100,0)</f>
        <v>-1.9752975092032554</v>
      </c>
      <c r="O109" s="25">
        <f>IF(AND(P$6-O$6 &lt;&gt; 0,O35&lt;&gt;0,P35&lt;&gt;0),(EXP(LN(P35/O35)/(P$6-O$6))-1)*100,0)</f>
        <v>0.55035003671402016</v>
      </c>
      <c r="P109" s="25">
        <f>IF(AND(Q$6-P$6 &lt;&gt; 0,P35&lt;&gt;0,Q35&lt;&gt;0),(EXP(LN(Q35/P35)/(Q$6-P$6))-1)*100,0)</f>
        <v>0.35463380786926457</v>
      </c>
      <c r="Q109" s="25">
        <f t="shared" ref="Q109" si="115">IF(AND(Q$6-O$6 &lt;&gt; 0,O35&lt;&gt;0,Q35&lt;&gt;0),(EXP(LN(Q35/O35)/(Q$6-O$6))-1)*100,0)</f>
        <v>0.41983018617468559</v>
      </c>
      <c r="S109" s="25">
        <f t="shared" ref="S109" si="116">IF($F$6-$D$6 &lt;&gt; 0,(EXP(LN(1+(S72/100))/($F$6-$D$6))-1)*100,0)</f>
        <v>0.41983018617468559</v>
      </c>
      <c r="T109" s="25">
        <f t="shared" ref="T109" si="117">IF(O35&gt;0,((1+(T35/O35))^(1/($F$6-$D$6))-1)*100,0)</f>
        <v>2.3650722104910926</v>
      </c>
      <c r="U109" s="25">
        <f t="shared" ref="U109" si="118">IF($F$6-$D$6 &lt;&gt; 0,(EXP(LN(1+(U72/100))/($F$6-$D$6))-1)*100,0)</f>
        <v>2.670330829698786</v>
      </c>
      <c r="W109" s="23" t="str">
        <f>W35</f>
        <v>All occupations</v>
      </c>
      <c r="X109" s="25">
        <f>IF(AND(Y$6-X$6 &lt;&gt; 0,X35&lt;&gt;0,Y35&lt;&gt;0),(EXP(LN(Y35/X35)/(Y$6-X$6))-1)*100,0)</f>
        <v>1.5535910225281668</v>
      </c>
      <c r="Y109" s="25">
        <f>IF(AND(Z$6-Y$6 &lt;&gt; 0,Y35&lt;&gt;0,Z35&lt;&gt;0),(EXP(LN(Z35/Y35)/(Z$6-Y$6))-1)*100,0)</f>
        <v>-0.28534843837859647</v>
      </c>
      <c r="Z109" s="25">
        <f>IF(AND(AA$6-Z$6 &lt;&gt; 0,Z35&lt;&gt;0,AA35&lt;&gt;0),(EXP(LN(AA35/Z35)/(AA$6-Z$6))-1)*100,0)</f>
        <v>0.63769752103586264</v>
      </c>
      <c r="AA109" s="25">
        <f>IF(AND(AB$6-AA$6 &lt;&gt; 0,AA35&lt;&gt;0,AB35&lt;&gt;0),(EXP(LN(AB35/AA35)/(AB$6-AA$6))-1)*100,0)</f>
        <v>0.48896229886759013</v>
      </c>
      <c r="AB109" s="25">
        <f t="shared" ref="AB109" si="119">IF(AND(AB$6-Z$6 &lt;&gt; 0,Z35&lt;&gt;0,AB35&lt;&gt;0),(EXP(LN(AB35/Z35)/(AB$6-Z$6))-1)*100,0)</f>
        <v>0.5385162657690179</v>
      </c>
      <c r="AD109" s="25">
        <f t="shared" ref="AD109" si="120">IF($F$6-$D$6 &lt;&gt; 0,(EXP(LN(1+(AD72/100))/($F$6-$D$6))-1)*100,0)</f>
        <v>0.5385162657690179</v>
      </c>
      <c r="AE109" s="25">
        <f t="shared" ref="AE109" si="121">IF(Z35&gt;0,((1+(AE35/Z35))^(1/($F$6-$D$6))-1)*100,0)</f>
        <v>3.1407488233836656</v>
      </c>
      <c r="AF109" s="25">
        <f t="shared" ref="AF109" si="122">IF($F$6-$D$6 &lt;&gt; 0,(EXP(LN(1+(AF72/100))/($F$6-$D$6))-1)*100,0)</f>
        <v>3.4948698403779233</v>
      </c>
    </row>
    <row r="112" spans="1:32" ht="15.45" x14ac:dyDescent="0.4">
      <c r="A112" s="18" t="str">
        <f>CONCATENATE(A$1," (Continued)")</f>
        <v>Occupation Table 2  Employment Change by Occupation (SOC 2020) and Replacement Demand, 2015-2035, England (Continued)</v>
      </c>
      <c r="L112" s="18" t="str">
        <f>CONCATENATE(L$1," (Continued)")</f>
        <v>Occupation Table 2.1  Males: Employment Change by Occupation (SOC 2020) and Replacement Demand, 2015-2035, England (Continued)</v>
      </c>
      <c r="W112" s="18" t="str">
        <f>CONCATENATE(W$1," (Continued)")</f>
        <v>Occupation Table 2.2  Females: Employment Change by Occupation (SOC 2020) and Replacement Demand, 2015-2035, England (Continued)</v>
      </c>
    </row>
    <row r="114" spans="1:28" x14ac:dyDescent="0.3">
      <c r="F114" s="15" t="s">
        <v>35</v>
      </c>
      <c r="Q114" s="15" t="s">
        <v>35</v>
      </c>
      <c r="AB114" s="15" t="s">
        <v>35</v>
      </c>
    </row>
    <row r="115" spans="1:28" x14ac:dyDescent="0.3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3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3">
      <c r="A119" t="str">
        <f t="shared" ref="A119:A144" si="123">A8</f>
        <v>11 Corporate managers and directors</v>
      </c>
      <c r="B119" s="26">
        <f t="shared" ref="B119:E144" si="124">C8-B8</f>
        <v>353.00983694221736</v>
      </c>
      <c r="C119" s="26">
        <f t="shared" si="124"/>
        <v>48.419709679736116</v>
      </c>
      <c r="D119" s="26">
        <f t="shared" si="124"/>
        <v>-137.12616010252259</v>
      </c>
      <c r="E119" s="26">
        <f t="shared" si="124"/>
        <v>203.95699136290659</v>
      </c>
      <c r="F119" s="26">
        <f t="shared" ref="F119:F144" si="125">F8-D8</f>
        <v>66.830831260384002</v>
      </c>
      <c r="L119" t="str">
        <f t="shared" ref="L119:L144" si="126">L8</f>
        <v>11 Corporate managers and directors</v>
      </c>
      <c r="M119" s="26">
        <f t="shared" ref="M119:P144" si="127">N8-M8</f>
        <v>184.37501068257643</v>
      </c>
      <c r="N119" s="26">
        <f t="shared" si="127"/>
        <v>20.151299032928591</v>
      </c>
      <c r="O119" s="26">
        <f t="shared" si="127"/>
        <v>-137.39907127169568</v>
      </c>
      <c r="P119" s="26">
        <f t="shared" si="127"/>
        <v>70.424635722057019</v>
      </c>
      <c r="Q119" s="26">
        <f t="shared" ref="Q119:Q144" si="128">Q8-O8</f>
        <v>-66.974435549638656</v>
      </c>
      <c r="W119" t="str">
        <f t="shared" ref="W119:W144" si="129">W8</f>
        <v>11 Corporate managers and directors</v>
      </c>
      <c r="X119" s="26">
        <f t="shared" ref="X119:AA144" si="130">Y8-X8</f>
        <v>168.63482625964321</v>
      </c>
      <c r="Y119" s="26">
        <f t="shared" si="130"/>
        <v>28.268410646801499</v>
      </c>
      <c r="Z119" s="26">
        <f t="shared" si="130"/>
        <v>0.27291116917797353</v>
      </c>
      <c r="AA119" s="26">
        <f t="shared" si="130"/>
        <v>133.5323556408506</v>
      </c>
      <c r="AB119" s="26">
        <f t="shared" ref="AB119:AB144" si="131">AB8-Z8</f>
        <v>133.80526681002857</v>
      </c>
    </row>
    <row r="120" spans="1:28" x14ac:dyDescent="0.3">
      <c r="A120" t="str">
        <f t="shared" si="123"/>
        <v>12 Other managers and proprietors</v>
      </c>
      <c r="B120" s="26">
        <f t="shared" si="124"/>
        <v>65.822899626356275</v>
      </c>
      <c r="C120" s="26">
        <f t="shared" si="124"/>
        <v>7.7556521335408206</v>
      </c>
      <c r="D120" s="26">
        <f t="shared" si="124"/>
        <v>240.83110800309078</v>
      </c>
      <c r="E120" s="26">
        <f t="shared" si="124"/>
        <v>191.53670151360598</v>
      </c>
      <c r="F120" s="26">
        <f t="shared" si="125"/>
        <v>432.36780951669675</v>
      </c>
      <c r="L120" t="str">
        <f t="shared" si="126"/>
        <v>12 Other managers and proprietors</v>
      </c>
      <c r="M120" s="26">
        <f t="shared" si="127"/>
        <v>32.678984029146818</v>
      </c>
      <c r="N120" s="26">
        <f t="shared" si="127"/>
        <v>-11.683630046922531</v>
      </c>
      <c r="O120" s="26">
        <f t="shared" si="127"/>
        <v>159.90435123959492</v>
      </c>
      <c r="P120" s="26">
        <f t="shared" si="127"/>
        <v>108.88678925912563</v>
      </c>
      <c r="Q120" s="26">
        <f t="shared" si="128"/>
        <v>268.79114049872055</v>
      </c>
      <c r="W120" t="str">
        <f t="shared" si="129"/>
        <v>12 Other managers and proprietors</v>
      </c>
      <c r="X120" s="26">
        <f t="shared" si="130"/>
        <v>33.143915597206842</v>
      </c>
      <c r="Y120" s="26">
        <f t="shared" si="130"/>
        <v>19.439282180465739</v>
      </c>
      <c r="Z120" s="26">
        <f t="shared" si="130"/>
        <v>80.92675676349171</v>
      </c>
      <c r="AA120" s="26">
        <f t="shared" si="130"/>
        <v>82.649912254483411</v>
      </c>
      <c r="AB120" s="26">
        <f t="shared" si="131"/>
        <v>163.57666901797512</v>
      </c>
    </row>
    <row r="121" spans="1:28" x14ac:dyDescent="0.3">
      <c r="A121" t="str">
        <f t="shared" si="123"/>
        <v>21 Science, research, engineering and technology professionals</v>
      </c>
      <c r="B121" s="26">
        <f t="shared" si="124"/>
        <v>239.19049576006842</v>
      </c>
      <c r="C121" s="26">
        <f t="shared" si="124"/>
        <v>74.727422267294287</v>
      </c>
      <c r="D121" s="26">
        <f t="shared" si="124"/>
        <v>121.635916279414</v>
      </c>
      <c r="E121" s="26">
        <f t="shared" si="124"/>
        <v>220.79944717971239</v>
      </c>
      <c r="F121" s="26">
        <f t="shared" si="125"/>
        <v>342.43536345912639</v>
      </c>
      <c r="L121" t="str">
        <f t="shared" si="126"/>
        <v>21 Science, research, engineering and technology professionals</v>
      </c>
      <c r="M121" s="26">
        <f t="shared" si="127"/>
        <v>203.79019979411396</v>
      </c>
      <c r="N121" s="26">
        <f t="shared" si="127"/>
        <v>-5.9025456352428591</v>
      </c>
      <c r="O121" s="26">
        <f t="shared" si="127"/>
        <v>40.931433744893411</v>
      </c>
      <c r="P121" s="26">
        <f t="shared" si="127"/>
        <v>120.46651939639673</v>
      </c>
      <c r="Q121" s="26">
        <f t="shared" si="128"/>
        <v>161.39795314129015</v>
      </c>
      <c r="W121" t="str">
        <f t="shared" si="129"/>
        <v>21 Science, research, engineering and technology professionals</v>
      </c>
      <c r="X121" s="26">
        <f t="shared" si="130"/>
        <v>35.40029596595798</v>
      </c>
      <c r="Y121" s="26">
        <f t="shared" si="130"/>
        <v>80.629967902535896</v>
      </c>
      <c r="Z121" s="26">
        <f t="shared" si="130"/>
        <v>80.704482534517524</v>
      </c>
      <c r="AA121" s="26">
        <f t="shared" si="130"/>
        <v>100.33292778331361</v>
      </c>
      <c r="AB121" s="26">
        <f t="shared" si="131"/>
        <v>181.03741031783113</v>
      </c>
    </row>
    <row r="122" spans="1:28" x14ac:dyDescent="0.3">
      <c r="A122" t="str">
        <f t="shared" si="123"/>
        <v>22 Health professionals</v>
      </c>
      <c r="B122" s="26">
        <f t="shared" si="124"/>
        <v>185.2138238938528</v>
      </c>
      <c r="C122" s="26">
        <f t="shared" si="124"/>
        <v>-0.91865689910218862</v>
      </c>
      <c r="D122" s="26">
        <f t="shared" si="124"/>
        <v>106.22920810714254</v>
      </c>
      <c r="E122" s="26">
        <f t="shared" si="124"/>
        <v>128.46713539568123</v>
      </c>
      <c r="F122" s="26">
        <f t="shared" si="125"/>
        <v>234.69634350282377</v>
      </c>
      <c r="L122" t="str">
        <f t="shared" si="126"/>
        <v>22 Health professionals</v>
      </c>
      <c r="M122" s="26">
        <f t="shared" si="127"/>
        <v>43.160101781209846</v>
      </c>
      <c r="N122" s="26">
        <f t="shared" si="127"/>
        <v>28.872040492503288</v>
      </c>
      <c r="O122" s="26">
        <f t="shared" si="127"/>
        <v>24.838616827908311</v>
      </c>
      <c r="P122" s="26">
        <f t="shared" si="127"/>
        <v>33.22230579956755</v>
      </c>
      <c r="Q122" s="26">
        <f t="shared" si="128"/>
        <v>58.060922627475861</v>
      </c>
      <c r="W122" t="str">
        <f t="shared" si="129"/>
        <v>22 Health professionals</v>
      </c>
      <c r="X122" s="26">
        <f t="shared" si="130"/>
        <v>142.05372211264284</v>
      </c>
      <c r="Y122" s="26">
        <f t="shared" si="130"/>
        <v>-29.790697391609456</v>
      </c>
      <c r="Z122" s="26">
        <f t="shared" si="130"/>
        <v>81.390591279235991</v>
      </c>
      <c r="AA122" s="26">
        <f t="shared" si="130"/>
        <v>95.244829596114641</v>
      </c>
      <c r="AB122" s="26">
        <f t="shared" si="131"/>
        <v>176.63542087535063</v>
      </c>
    </row>
    <row r="123" spans="1:28" x14ac:dyDescent="0.3">
      <c r="A123" t="str">
        <f t="shared" si="123"/>
        <v>23 Teaching and other educational professionals</v>
      </c>
      <c r="B123" s="26">
        <f t="shared" si="124"/>
        <v>79.489847359557189</v>
      </c>
      <c r="C123" s="26">
        <f t="shared" si="124"/>
        <v>59.265714824432507</v>
      </c>
      <c r="D123" s="26">
        <f t="shared" si="124"/>
        <v>61.26800705394362</v>
      </c>
      <c r="E123" s="26">
        <f t="shared" si="124"/>
        <v>137.5669310757828</v>
      </c>
      <c r="F123" s="26">
        <f t="shared" si="125"/>
        <v>198.83493812972642</v>
      </c>
      <c r="L123" t="str">
        <f t="shared" si="126"/>
        <v>23 Teaching and other educational professionals</v>
      </c>
      <c r="M123" s="26">
        <f t="shared" si="127"/>
        <v>-1.8569792433137877</v>
      </c>
      <c r="N123" s="26">
        <f t="shared" si="127"/>
        <v>25.409062592107261</v>
      </c>
      <c r="O123" s="26">
        <f t="shared" si="127"/>
        <v>37.39036222004836</v>
      </c>
      <c r="P123" s="26">
        <f t="shared" si="127"/>
        <v>38.74420415689201</v>
      </c>
      <c r="Q123" s="26">
        <f t="shared" si="128"/>
        <v>76.13456637694037</v>
      </c>
      <c r="W123" t="str">
        <f t="shared" si="129"/>
        <v>23 Teaching and other educational professionals</v>
      </c>
      <c r="X123" s="26">
        <f t="shared" si="130"/>
        <v>81.346826602881265</v>
      </c>
      <c r="Y123" s="26">
        <f t="shared" si="130"/>
        <v>33.856652232320471</v>
      </c>
      <c r="Z123" s="26">
        <f t="shared" si="130"/>
        <v>23.877644833898216</v>
      </c>
      <c r="AA123" s="26">
        <f t="shared" si="130"/>
        <v>98.822726918886246</v>
      </c>
      <c r="AB123" s="26">
        <f t="shared" si="131"/>
        <v>122.70037175278446</v>
      </c>
    </row>
    <row r="124" spans="1:28" x14ac:dyDescent="0.3">
      <c r="A124" t="str">
        <f t="shared" si="123"/>
        <v>24 Business, media and public service professionals</v>
      </c>
      <c r="B124" s="26">
        <f t="shared" si="124"/>
        <v>329.03766500864776</v>
      </c>
      <c r="C124" s="26">
        <f t="shared" si="124"/>
        <v>163.65795251845202</v>
      </c>
      <c r="D124" s="26">
        <f t="shared" si="124"/>
        <v>285.79908603643435</v>
      </c>
      <c r="E124" s="26">
        <f t="shared" si="124"/>
        <v>308.01009152953657</v>
      </c>
      <c r="F124" s="26">
        <f t="shared" si="125"/>
        <v>593.80917756597091</v>
      </c>
      <c r="L124" t="str">
        <f t="shared" si="126"/>
        <v>24 Business, media and public service professionals</v>
      </c>
      <c r="M124" s="26">
        <f t="shared" si="127"/>
        <v>147.06419873542745</v>
      </c>
      <c r="N124" s="26">
        <f t="shared" si="127"/>
        <v>65.354805451571792</v>
      </c>
      <c r="O124" s="26">
        <f t="shared" si="127"/>
        <v>164.14454662090952</v>
      </c>
      <c r="P124" s="26">
        <f t="shared" si="127"/>
        <v>129.71737528964809</v>
      </c>
      <c r="Q124" s="26">
        <f t="shared" si="128"/>
        <v>293.86192191055761</v>
      </c>
      <c r="W124" t="str">
        <f t="shared" si="129"/>
        <v>24 Business, media and public service professionals</v>
      </c>
      <c r="X124" s="26">
        <f t="shared" si="130"/>
        <v>181.9734662732177</v>
      </c>
      <c r="Y124" s="26">
        <f t="shared" si="130"/>
        <v>98.30314706688182</v>
      </c>
      <c r="Z124" s="26">
        <f t="shared" si="130"/>
        <v>121.6545394155155</v>
      </c>
      <c r="AA124" s="26">
        <f t="shared" si="130"/>
        <v>178.29271623989121</v>
      </c>
      <c r="AB124" s="26">
        <f t="shared" si="131"/>
        <v>299.94725565540671</v>
      </c>
    </row>
    <row r="125" spans="1:28" x14ac:dyDescent="0.3">
      <c r="A125" t="str">
        <f t="shared" si="123"/>
        <v>31 Science, engineering and technology associate professionals</v>
      </c>
      <c r="B125" s="26">
        <f t="shared" si="124"/>
        <v>82.54386373811883</v>
      </c>
      <c r="C125" s="26">
        <f t="shared" si="124"/>
        <v>45.887484177836427</v>
      </c>
      <c r="D125" s="26">
        <f t="shared" si="124"/>
        <v>-67.397534522324349</v>
      </c>
      <c r="E125" s="26">
        <f t="shared" si="124"/>
        <v>37.088323483976751</v>
      </c>
      <c r="F125" s="26">
        <f t="shared" si="125"/>
        <v>-30.309211038347598</v>
      </c>
      <c r="L125" t="str">
        <f t="shared" si="126"/>
        <v>31 Science, engineering and technology associate professionals</v>
      </c>
      <c r="M125" s="26">
        <f t="shared" si="127"/>
        <v>74.19637119451545</v>
      </c>
      <c r="N125" s="26">
        <f t="shared" si="127"/>
        <v>15.940884564835756</v>
      </c>
      <c r="O125" s="26">
        <f t="shared" si="127"/>
        <v>-74.210537898431483</v>
      </c>
      <c r="P125" s="26">
        <f t="shared" si="127"/>
        <v>6.0486255357155869</v>
      </c>
      <c r="Q125" s="26">
        <f t="shared" si="128"/>
        <v>-68.161912362715896</v>
      </c>
      <c r="W125" t="str">
        <f t="shared" si="129"/>
        <v>31 Science, engineering and technology associate professionals</v>
      </c>
      <c r="X125" s="26">
        <f t="shared" si="130"/>
        <v>8.3474925436024279</v>
      </c>
      <c r="Y125" s="26">
        <f t="shared" si="130"/>
        <v>29.946599613001951</v>
      </c>
      <c r="Z125" s="26">
        <f t="shared" si="130"/>
        <v>6.8130033761055415</v>
      </c>
      <c r="AA125" s="26">
        <f t="shared" si="130"/>
        <v>31.03969794826213</v>
      </c>
      <c r="AB125" s="26">
        <f t="shared" si="131"/>
        <v>37.852701324367672</v>
      </c>
    </row>
    <row r="126" spans="1:28" x14ac:dyDescent="0.3">
      <c r="A126" t="str">
        <f t="shared" si="123"/>
        <v>32 Health and social care associate professionals</v>
      </c>
      <c r="B126" s="26">
        <f t="shared" si="124"/>
        <v>62.821878376018049</v>
      </c>
      <c r="C126" s="26">
        <f t="shared" si="124"/>
        <v>12.939499276292167</v>
      </c>
      <c r="D126" s="26">
        <f t="shared" si="124"/>
        <v>8.462965979302794</v>
      </c>
      <c r="E126" s="26">
        <f t="shared" si="124"/>
        <v>54.797790068399195</v>
      </c>
      <c r="F126" s="26">
        <f t="shared" si="125"/>
        <v>63.260756047701989</v>
      </c>
      <c r="L126" t="str">
        <f t="shared" si="126"/>
        <v>32 Health and social care associate professionals</v>
      </c>
      <c r="M126" s="26">
        <f t="shared" si="127"/>
        <v>4.0919637327264837</v>
      </c>
      <c r="N126" s="26">
        <f t="shared" si="127"/>
        <v>11.30242090635727</v>
      </c>
      <c r="O126" s="26">
        <f t="shared" si="127"/>
        <v>-11.018081402013465</v>
      </c>
      <c r="P126" s="26">
        <f t="shared" si="127"/>
        <v>7.0597168888551352</v>
      </c>
      <c r="Q126" s="26">
        <f t="shared" si="128"/>
        <v>-3.9583645131583296</v>
      </c>
      <c r="W126" t="str">
        <f t="shared" si="129"/>
        <v>32 Health and social care associate professionals</v>
      </c>
      <c r="X126" s="26">
        <f t="shared" si="130"/>
        <v>58.72991464329192</v>
      </c>
      <c r="Y126" s="26">
        <f t="shared" si="130"/>
        <v>1.6370783699350682</v>
      </c>
      <c r="Z126" s="26">
        <f t="shared" si="130"/>
        <v>19.481047381316273</v>
      </c>
      <c r="AA126" s="26">
        <f t="shared" si="130"/>
        <v>47.73807317954396</v>
      </c>
      <c r="AB126" s="26">
        <f t="shared" si="131"/>
        <v>67.219120560860233</v>
      </c>
    </row>
    <row r="127" spans="1:28" x14ac:dyDescent="0.3">
      <c r="A127" t="str">
        <f t="shared" si="123"/>
        <v>33 Protective service occupations</v>
      </c>
      <c r="B127" s="26">
        <f t="shared" si="124"/>
        <v>8.304397220192584</v>
      </c>
      <c r="C127" s="26">
        <f t="shared" si="124"/>
        <v>18.856958795572552</v>
      </c>
      <c r="D127" s="26">
        <f t="shared" si="124"/>
        <v>62.105288249466867</v>
      </c>
      <c r="E127" s="26">
        <f t="shared" si="124"/>
        <v>58.34669861764354</v>
      </c>
      <c r="F127" s="26">
        <f t="shared" si="125"/>
        <v>120.45198686711041</v>
      </c>
      <c r="L127" t="str">
        <f t="shared" si="126"/>
        <v>33 Protective service occupations</v>
      </c>
      <c r="M127" s="26">
        <f t="shared" si="127"/>
        <v>0.49047968375501227</v>
      </c>
      <c r="N127" s="26">
        <f t="shared" si="127"/>
        <v>9.801615158879315</v>
      </c>
      <c r="O127" s="26">
        <f t="shared" si="127"/>
        <v>34.529046875837963</v>
      </c>
      <c r="P127" s="26">
        <f t="shared" si="127"/>
        <v>22.857516302116039</v>
      </c>
      <c r="Q127" s="26">
        <f t="shared" si="128"/>
        <v>57.386563177954002</v>
      </c>
      <c r="W127" t="str">
        <f t="shared" si="129"/>
        <v>33 Protective service occupations</v>
      </c>
      <c r="X127" s="26">
        <f t="shared" si="130"/>
        <v>7.8139175364404849</v>
      </c>
      <c r="Y127" s="26">
        <f t="shared" si="130"/>
        <v>9.0553436366918589</v>
      </c>
      <c r="Z127" s="26">
        <f t="shared" si="130"/>
        <v>27.5762413736296</v>
      </c>
      <c r="AA127" s="26">
        <f t="shared" si="130"/>
        <v>35.489182315526136</v>
      </c>
      <c r="AB127" s="26">
        <f t="shared" si="131"/>
        <v>63.065423689155736</v>
      </c>
    </row>
    <row r="128" spans="1:28" x14ac:dyDescent="0.3">
      <c r="A128" t="str">
        <f t="shared" si="123"/>
        <v>34 Culture, media and sports occupations</v>
      </c>
      <c r="B128" s="26">
        <f t="shared" si="124"/>
        <v>8.4491988595800649E-3</v>
      </c>
      <c r="C128" s="26">
        <f t="shared" si="124"/>
        <v>51.296590236476618</v>
      </c>
      <c r="D128" s="26">
        <f t="shared" si="124"/>
        <v>-4.9743523539862053</v>
      </c>
      <c r="E128" s="26">
        <f t="shared" si="124"/>
        <v>72.749043650321369</v>
      </c>
      <c r="F128" s="26">
        <f t="shared" si="125"/>
        <v>67.774691296335163</v>
      </c>
      <c r="L128" t="str">
        <f t="shared" si="126"/>
        <v>34 Culture, media and sports occupations</v>
      </c>
      <c r="M128" s="26">
        <f t="shared" si="127"/>
        <v>-6.3347421424184631</v>
      </c>
      <c r="N128" s="26">
        <f t="shared" si="127"/>
        <v>8.8593327322695927</v>
      </c>
      <c r="O128" s="26">
        <f t="shared" si="127"/>
        <v>6.9784339448233368E-3</v>
      </c>
      <c r="P128" s="26">
        <f t="shared" si="127"/>
        <v>36.707085322305488</v>
      </c>
      <c r="Q128" s="26">
        <f t="shared" si="128"/>
        <v>36.714063756250312</v>
      </c>
      <c r="W128" t="str">
        <f t="shared" si="129"/>
        <v>34 Culture, media and sports occupations</v>
      </c>
      <c r="X128" s="26">
        <f t="shared" si="130"/>
        <v>6.3431913412779295</v>
      </c>
      <c r="Y128" s="26">
        <f t="shared" si="130"/>
        <v>42.437257504206855</v>
      </c>
      <c r="Z128" s="26">
        <f t="shared" si="130"/>
        <v>-4.9813307879305171</v>
      </c>
      <c r="AA128" s="26">
        <f t="shared" si="130"/>
        <v>36.041958328013095</v>
      </c>
      <c r="AB128" s="26">
        <f t="shared" si="131"/>
        <v>31.060627540082578</v>
      </c>
    </row>
    <row r="129" spans="1:28" x14ac:dyDescent="0.3">
      <c r="A129" t="str">
        <f t="shared" si="123"/>
        <v>35 Business and public service associate professionals</v>
      </c>
      <c r="B129" s="26">
        <f t="shared" si="124"/>
        <v>139.53245084516948</v>
      </c>
      <c r="C129" s="26">
        <f t="shared" si="124"/>
        <v>57.055182400138619</v>
      </c>
      <c r="D129" s="26">
        <f t="shared" si="124"/>
        <v>-65.311668457896985</v>
      </c>
      <c r="E129" s="26">
        <f t="shared" si="124"/>
        <v>85.689006799032768</v>
      </c>
      <c r="F129" s="26">
        <f t="shared" si="125"/>
        <v>20.377338341135783</v>
      </c>
      <c r="L129" t="str">
        <f t="shared" si="126"/>
        <v>35 Business and public service associate professionals</v>
      </c>
      <c r="M129" s="26">
        <f t="shared" si="127"/>
        <v>52.487909932785442</v>
      </c>
      <c r="N129" s="26">
        <f t="shared" si="127"/>
        <v>33.987845292311363</v>
      </c>
      <c r="O129" s="26">
        <f t="shared" si="127"/>
        <v>-67.081638225120969</v>
      </c>
      <c r="P129" s="26">
        <f t="shared" si="127"/>
        <v>1.4201379248258945</v>
      </c>
      <c r="Q129" s="26">
        <f t="shared" si="128"/>
        <v>-65.661500300295074</v>
      </c>
      <c r="W129" t="str">
        <f t="shared" si="129"/>
        <v>35 Business and public service associate professionals</v>
      </c>
      <c r="X129" s="26">
        <f t="shared" si="130"/>
        <v>87.044540912382899</v>
      </c>
      <c r="Y129" s="26">
        <f t="shared" si="130"/>
        <v>23.067337107832373</v>
      </c>
      <c r="Z129" s="26">
        <f t="shared" si="130"/>
        <v>1.7699697672286447</v>
      </c>
      <c r="AA129" s="26">
        <f t="shared" si="130"/>
        <v>84.268868874205054</v>
      </c>
      <c r="AB129" s="26">
        <f t="shared" si="131"/>
        <v>86.038838641433699</v>
      </c>
    </row>
    <row r="130" spans="1:28" x14ac:dyDescent="0.3">
      <c r="A130" t="str">
        <f t="shared" si="123"/>
        <v>41 Administrative occupations</v>
      </c>
      <c r="B130" s="26">
        <f t="shared" si="124"/>
        <v>-36.717189050940306</v>
      </c>
      <c r="C130" s="26">
        <f t="shared" si="124"/>
        <v>101.80173153444548</v>
      </c>
      <c r="D130" s="26">
        <f t="shared" si="124"/>
        <v>-202.1003145704417</v>
      </c>
      <c r="E130" s="26">
        <f t="shared" si="124"/>
        <v>-125.63861061488069</v>
      </c>
      <c r="F130" s="26">
        <f t="shared" si="125"/>
        <v>-327.73892518532239</v>
      </c>
      <c r="L130" t="str">
        <f t="shared" si="126"/>
        <v>41 Administrative occupations</v>
      </c>
      <c r="M130" s="26">
        <f t="shared" si="127"/>
        <v>-32.977677404332439</v>
      </c>
      <c r="N130" s="26">
        <f t="shared" si="127"/>
        <v>126.9121818424959</v>
      </c>
      <c r="O130" s="26">
        <f t="shared" si="127"/>
        <v>-39.107875211858072</v>
      </c>
      <c r="P130" s="26">
        <f t="shared" si="127"/>
        <v>62.811471645209281</v>
      </c>
      <c r="Q130" s="26">
        <f t="shared" si="128"/>
        <v>23.703596433351208</v>
      </c>
      <c r="W130" t="str">
        <f t="shared" si="129"/>
        <v>41 Administrative occupations</v>
      </c>
      <c r="X130" s="26">
        <f t="shared" si="130"/>
        <v>-3.7395116466063882</v>
      </c>
      <c r="Y130" s="26">
        <f t="shared" si="130"/>
        <v>-25.110450308053487</v>
      </c>
      <c r="Z130" s="26">
        <f t="shared" si="130"/>
        <v>-162.99243935857703</v>
      </c>
      <c r="AA130" s="26">
        <f t="shared" si="130"/>
        <v>-188.45008226008918</v>
      </c>
      <c r="AB130" s="26">
        <f t="shared" si="131"/>
        <v>-351.44252161866621</v>
      </c>
    </row>
    <row r="131" spans="1:28" x14ac:dyDescent="0.3">
      <c r="A131" t="str">
        <f t="shared" si="123"/>
        <v>42 Secretarial and related occupations</v>
      </c>
      <c r="B131" s="26">
        <f t="shared" si="124"/>
        <v>-51.869945605195085</v>
      </c>
      <c r="C131" s="26">
        <f t="shared" si="124"/>
        <v>-15.678019850215037</v>
      </c>
      <c r="D131" s="26">
        <f t="shared" si="124"/>
        <v>24.037973911369932</v>
      </c>
      <c r="E131" s="26">
        <f t="shared" si="124"/>
        <v>-123.20733031753934</v>
      </c>
      <c r="F131" s="26">
        <f t="shared" si="125"/>
        <v>-99.169356406169413</v>
      </c>
      <c r="L131" t="str">
        <f t="shared" si="126"/>
        <v>42 Secretarial and related occupations</v>
      </c>
      <c r="M131" s="26">
        <f t="shared" si="127"/>
        <v>-9.8693491216063975</v>
      </c>
      <c r="N131" s="26">
        <f t="shared" si="127"/>
        <v>-1.3436890427639909</v>
      </c>
      <c r="O131" s="26">
        <f t="shared" si="127"/>
        <v>10.775493077426482</v>
      </c>
      <c r="P131" s="26">
        <f t="shared" si="127"/>
        <v>9.4865124180990961</v>
      </c>
      <c r="Q131" s="26">
        <f t="shared" si="128"/>
        <v>20.262005495525578</v>
      </c>
      <c r="W131" t="str">
        <f t="shared" si="129"/>
        <v>42 Secretarial and related occupations</v>
      </c>
      <c r="X131" s="26">
        <f t="shared" si="130"/>
        <v>-42.000596483588652</v>
      </c>
      <c r="Y131" s="26">
        <f t="shared" si="130"/>
        <v>-14.334330807451693</v>
      </c>
      <c r="Z131" s="26">
        <f t="shared" si="130"/>
        <v>13.262480833943187</v>
      </c>
      <c r="AA131" s="26">
        <f t="shared" si="130"/>
        <v>-132.69384273563747</v>
      </c>
      <c r="AB131" s="26">
        <f t="shared" si="131"/>
        <v>-119.43136190169429</v>
      </c>
    </row>
    <row r="132" spans="1:28" x14ac:dyDescent="0.3">
      <c r="A132" t="str">
        <f t="shared" si="123"/>
        <v>51 Skilled agricultural and related trades</v>
      </c>
      <c r="B132" s="26">
        <f t="shared" si="124"/>
        <v>3.4291880284058607</v>
      </c>
      <c r="C132" s="26">
        <f t="shared" si="124"/>
        <v>-31.02968944610808</v>
      </c>
      <c r="D132" s="26">
        <f t="shared" si="124"/>
        <v>6.8407191526866313</v>
      </c>
      <c r="E132" s="26">
        <f t="shared" si="124"/>
        <v>31.256730553877844</v>
      </c>
      <c r="F132" s="26">
        <f t="shared" si="125"/>
        <v>38.097449706564475</v>
      </c>
      <c r="L132" t="str">
        <f t="shared" si="126"/>
        <v>51 Skilled agricultural and related trades</v>
      </c>
      <c r="M132" s="26">
        <f t="shared" si="127"/>
        <v>1.6650238026197997</v>
      </c>
      <c r="N132" s="26">
        <f t="shared" si="127"/>
        <v>-35.814350349289043</v>
      </c>
      <c r="O132" s="26">
        <f t="shared" si="127"/>
        <v>-0.49186836443101356</v>
      </c>
      <c r="P132" s="26">
        <f t="shared" si="127"/>
        <v>16.901610989796723</v>
      </c>
      <c r="Q132" s="26">
        <f t="shared" si="128"/>
        <v>16.409742625365709</v>
      </c>
      <c r="W132" t="str">
        <f t="shared" si="129"/>
        <v>51 Skilled agricultural and related trades</v>
      </c>
      <c r="X132" s="26">
        <f t="shared" si="130"/>
        <v>1.7641642257853363</v>
      </c>
      <c r="Y132" s="26">
        <f t="shared" si="130"/>
        <v>4.7846609031817877</v>
      </c>
      <c r="Z132" s="26">
        <f t="shared" si="130"/>
        <v>7.332587517117247</v>
      </c>
      <c r="AA132" s="26">
        <f t="shared" si="130"/>
        <v>14.355119564081612</v>
      </c>
      <c r="AB132" s="26">
        <f t="shared" si="131"/>
        <v>21.687707081198859</v>
      </c>
    </row>
    <row r="133" spans="1:28" x14ac:dyDescent="0.3">
      <c r="A133" t="str">
        <f t="shared" si="123"/>
        <v>52 Skilled metal, electrical and electronic trades</v>
      </c>
      <c r="B133" s="26">
        <f t="shared" si="124"/>
        <v>22.02697445260651</v>
      </c>
      <c r="C133" s="26">
        <f t="shared" si="124"/>
        <v>-137.82877263122998</v>
      </c>
      <c r="D133" s="26">
        <f t="shared" si="124"/>
        <v>-4.6017951572001721</v>
      </c>
      <c r="E133" s="26">
        <f t="shared" si="124"/>
        <v>-49.077657150527216</v>
      </c>
      <c r="F133" s="26">
        <f t="shared" si="125"/>
        <v>-53.679452307727388</v>
      </c>
      <c r="L133" t="str">
        <f t="shared" si="126"/>
        <v>52 Skilled metal, electrical and electronic trades</v>
      </c>
      <c r="M133" s="26">
        <f t="shared" si="127"/>
        <v>9.9614001087713859</v>
      </c>
      <c r="N133" s="26">
        <f t="shared" si="127"/>
        <v>-131.10122424385736</v>
      </c>
      <c r="O133" s="26">
        <f t="shared" si="127"/>
        <v>-34.220829393102917</v>
      </c>
      <c r="P133" s="26">
        <f t="shared" si="127"/>
        <v>-63.260569859339739</v>
      </c>
      <c r="Q133" s="26">
        <f t="shared" si="128"/>
        <v>-97.481399252442657</v>
      </c>
      <c r="W133" t="str">
        <f t="shared" si="129"/>
        <v>52 Skilled metal, electrical and electronic trades</v>
      </c>
      <c r="X133" s="26">
        <f t="shared" si="130"/>
        <v>12.065574343840364</v>
      </c>
      <c r="Y133" s="26">
        <f t="shared" si="130"/>
        <v>-6.7275483873746325</v>
      </c>
      <c r="Z133" s="26">
        <f t="shared" si="130"/>
        <v>29.619034235898638</v>
      </c>
      <c r="AA133" s="26">
        <f t="shared" si="130"/>
        <v>14.182912708814307</v>
      </c>
      <c r="AB133" s="26">
        <f t="shared" si="131"/>
        <v>43.801946944712945</v>
      </c>
    </row>
    <row r="134" spans="1:28" x14ac:dyDescent="0.3">
      <c r="A134" t="str">
        <f t="shared" si="123"/>
        <v>53 Skilled construction and building trades</v>
      </c>
      <c r="B134" s="26">
        <f t="shared" si="124"/>
        <v>-10.829509694410376</v>
      </c>
      <c r="C134" s="26">
        <f t="shared" si="124"/>
        <v>-139.82426213554243</v>
      </c>
      <c r="D134" s="26">
        <f t="shared" si="124"/>
        <v>41.514483096372601</v>
      </c>
      <c r="E134" s="26">
        <f t="shared" si="124"/>
        <v>-45.858178482753942</v>
      </c>
      <c r="F134" s="26">
        <f t="shared" si="125"/>
        <v>-4.3436953863813415</v>
      </c>
      <c r="L134" t="str">
        <f t="shared" si="126"/>
        <v>53 Skilled construction and building trades</v>
      </c>
      <c r="M134" s="26">
        <f t="shared" si="127"/>
        <v>-14.462666607723236</v>
      </c>
      <c r="N134" s="26">
        <f t="shared" si="127"/>
        <v>-139.98502156378242</v>
      </c>
      <c r="O134" s="26">
        <f t="shared" si="127"/>
        <v>39.615286391352583</v>
      </c>
      <c r="P134" s="26">
        <f t="shared" si="127"/>
        <v>-50.312403537965565</v>
      </c>
      <c r="Q134" s="26">
        <f t="shared" si="128"/>
        <v>-10.697117146612982</v>
      </c>
      <c r="W134" t="str">
        <f t="shared" si="129"/>
        <v>53 Skilled construction and building trades</v>
      </c>
      <c r="X134" s="26">
        <f t="shared" si="130"/>
        <v>3.6331569133123143</v>
      </c>
      <c r="Y134" s="26">
        <f t="shared" si="130"/>
        <v>0.16075942824043921</v>
      </c>
      <c r="Z134" s="26">
        <f t="shared" si="130"/>
        <v>1.8991967050196337</v>
      </c>
      <c r="AA134" s="26">
        <f t="shared" si="130"/>
        <v>4.4542250552121452</v>
      </c>
      <c r="AB134" s="26">
        <f t="shared" si="131"/>
        <v>6.3534217602317788</v>
      </c>
    </row>
    <row r="135" spans="1:28" x14ac:dyDescent="0.3">
      <c r="A135" t="str">
        <f t="shared" si="123"/>
        <v>54 Textiles, printing and other skilled trades</v>
      </c>
      <c r="B135" s="26">
        <f t="shared" si="124"/>
        <v>-53.546154656576391</v>
      </c>
      <c r="C135" s="26">
        <f t="shared" si="124"/>
        <v>-31.81048262552963</v>
      </c>
      <c r="D135" s="26">
        <f t="shared" si="124"/>
        <v>0.20596267999951579</v>
      </c>
      <c r="E135" s="26">
        <f t="shared" si="124"/>
        <v>3.5797142621759122</v>
      </c>
      <c r="F135" s="26">
        <f t="shared" si="125"/>
        <v>3.7856769421754279</v>
      </c>
      <c r="L135" t="str">
        <f t="shared" si="126"/>
        <v>54 Textiles, printing and other skilled trades</v>
      </c>
      <c r="M135" s="26">
        <f t="shared" si="127"/>
        <v>-37.663440547928701</v>
      </c>
      <c r="N135" s="26">
        <f t="shared" si="127"/>
        <v>-45.086553394226769</v>
      </c>
      <c r="O135" s="26">
        <f t="shared" si="127"/>
        <v>-1.0062772726957974</v>
      </c>
      <c r="P135" s="26">
        <f t="shared" si="127"/>
        <v>-0.7530482243445249</v>
      </c>
      <c r="Q135" s="26">
        <f t="shared" si="128"/>
        <v>-1.7593254970403223</v>
      </c>
      <c r="W135" t="str">
        <f t="shared" si="129"/>
        <v>54 Textiles, printing and other skilled trades</v>
      </c>
      <c r="X135" s="26">
        <f t="shared" si="130"/>
        <v>-15.882714108647434</v>
      </c>
      <c r="Y135" s="26">
        <f t="shared" si="130"/>
        <v>13.276070768697537</v>
      </c>
      <c r="Z135" s="26">
        <f t="shared" si="130"/>
        <v>1.2122399526945742</v>
      </c>
      <c r="AA135" s="26">
        <f t="shared" si="130"/>
        <v>4.3327624865195844</v>
      </c>
      <c r="AB135" s="26">
        <f t="shared" si="131"/>
        <v>5.5450024392141586</v>
      </c>
    </row>
    <row r="136" spans="1:28" x14ac:dyDescent="0.3">
      <c r="A136" t="str">
        <f t="shared" si="123"/>
        <v>61 Caring personal service occupations</v>
      </c>
      <c r="B136" s="26">
        <f t="shared" si="124"/>
        <v>59.558473587364915</v>
      </c>
      <c r="C136" s="26">
        <f t="shared" si="124"/>
        <v>-63.820844524901986</v>
      </c>
      <c r="D136" s="26">
        <f t="shared" si="124"/>
        <v>179.35078275966089</v>
      </c>
      <c r="E136" s="26">
        <f t="shared" si="124"/>
        <v>208.91652551287871</v>
      </c>
      <c r="F136" s="26">
        <f t="shared" si="125"/>
        <v>388.26730827253959</v>
      </c>
      <c r="L136" t="str">
        <f t="shared" si="126"/>
        <v>61 Caring personal service occupations</v>
      </c>
      <c r="M136" s="26">
        <f t="shared" si="127"/>
        <v>11.223718853932496</v>
      </c>
      <c r="N136" s="26">
        <f t="shared" si="127"/>
        <v>-9.5084413210576031</v>
      </c>
      <c r="O136" s="26">
        <f t="shared" si="127"/>
        <v>72.703168055761125</v>
      </c>
      <c r="P136" s="26">
        <f t="shared" si="127"/>
        <v>64.544637148157108</v>
      </c>
      <c r="Q136" s="26">
        <f t="shared" si="128"/>
        <v>137.24780520391823</v>
      </c>
      <c r="W136" t="str">
        <f t="shared" si="129"/>
        <v>61 Caring personal service occupations</v>
      </c>
      <c r="X136" s="26">
        <f t="shared" si="130"/>
        <v>48.334754733432192</v>
      </c>
      <c r="Y136" s="26">
        <f t="shared" si="130"/>
        <v>-54.312403203839722</v>
      </c>
      <c r="Z136" s="26">
        <f t="shared" si="130"/>
        <v>106.64761470390181</v>
      </c>
      <c r="AA136" s="26">
        <f t="shared" si="130"/>
        <v>144.37188836472069</v>
      </c>
      <c r="AB136" s="26">
        <f t="shared" si="131"/>
        <v>251.0195030686225</v>
      </c>
    </row>
    <row r="137" spans="1:28" x14ac:dyDescent="0.3">
      <c r="A137" t="str">
        <f t="shared" si="123"/>
        <v>62 Leisure, travel and related personal service occupations</v>
      </c>
      <c r="B137" s="26">
        <f t="shared" si="124"/>
        <v>52.905520301168281</v>
      </c>
      <c r="C137" s="26">
        <f t="shared" si="124"/>
        <v>-54.828453061185314</v>
      </c>
      <c r="D137" s="26">
        <f t="shared" si="124"/>
        <v>13.369255193706294</v>
      </c>
      <c r="E137" s="26">
        <f t="shared" si="124"/>
        <v>23.213684751801338</v>
      </c>
      <c r="F137" s="26">
        <f t="shared" si="125"/>
        <v>36.582939945507633</v>
      </c>
      <c r="L137" t="str">
        <f t="shared" si="126"/>
        <v>62 Leisure, travel and related personal service occupations</v>
      </c>
      <c r="M137" s="26">
        <f t="shared" si="127"/>
        <v>23.080109630948215</v>
      </c>
      <c r="N137" s="26">
        <f t="shared" si="127"/>
        <v>-10.625647643661893</v>
      </c>
      <c r="O137" s="26">
        <f t="shared" si="127"/>
        <v>7.0357513308439366</v>
      </c>
      <c r="P137" s="26">
        <f t="shared" si="127"/>
        <v>19.502648170279826</v>
      </c>
      <c r="Q137" s="26">
        <f t="shared" si="128"/>
        <v>26.538399501123763</v>
      </c>
      <c r="W137" t="str">
        <f t="shared" si="129"/>
        <v>62 Leisure, travel and related personal service occupations</v>
      </c>
      <c r="X137" s="26">
        <f t="shared" si="130"/>
        <v>29.825410670219924</v>
      </c>
      <c r="Y137" s="26">
        <f t="shared" si="130"/>
        <v>-44.202805417523791</v>
      </c>
      <c r="Z137" s="26">
        <f t="shared" si="130"/>
        <v>6.33350386286304</v>
      </c>
      <c r="AA137" s="26">
        <f t="shared" si="130"/>
        <v>3.711036581520716</v>
      </c>
      <c r="AB137" s="26">
        <f t="shared" si="131"/>
        <v>10.044540444383756</v>
      </c>
    </row>
    <row r="138" spans="1:28" x14ac:dyDescent="0.3">
      <c r="A138" t="str">
        <f t="shared" si="123"/>
        <v>63 Community and civil enforcement occupations</v>
      </c>
      <c r="B138" s="26">
        <f t="shared" si="124"/>
        <v>-3.9648042442006144</v>
      </c>
      <c r="C138" s="26">
        <f t="shared" si="124"/>
        <v>6.8670430288761892</v>
      </c>
      <c r="D138" s="26">
        <f t="shared" si="124"/>
        <v>-5.9730037416245487</v>
      </c>
      <c r="E138" s="26">
        <f t="shared" si="124"/>
        <v>2.0500277988108451</v>
      </c>
      <c r="F138" s="26">
        <f t="shared" si="125"/>
        <v>-3.9229759428137037</v>
      </c>
      <c r="L138" t="str">
        <f t="shared" si="126"/>
        <v>63 Community and civil enforcement occupations</v>
      </c>
      <c r="M138" s="26">
        <f t="shared" si="127"/>
        <v>-5.4486707524722249</v>
      </c>
      <c r="N138" s="26">
        <f t="shared" si="127"/>
        <v>7.868001911412474</v>
      </c>
      <c r="O138" s="26">
        <f t="shared" si="127"/>
        <v>-8.2779809796575776</v>
      </c>
      <c r="P138" s="26">
        <f t="shared" si="127"/>
        <v>2.1950317600215818</v>
      </c>
      <c r="Q138" s="26">
        <f t="shared" si="128"/>
        <v>-6.0829492196359958</v>
      </c>
      <c r="W138" t="str">
        <f t="shared" si="129"/>
        <v>63 Community and civil enforcement occupations</v>
      </c>
      <c r="X138" s="26">
        <f t="shared" si="130"/>
        <v>1.48386650827163</v>
      </c>
      <c r="Y138" s="26">
        <f t="shared" si="130"/>
        <v>-1.0009588825363203</v>
      </c>
      <c r="Z138" s="26">
        <f t="shared" si="130"/>
        <v>2.3049772380329401</v>
      </c>
      <c r="AA138" s="26">
        <f t="shared" si="130"/>
        <v>-0.1450039612106746</v>
      </c>
      <c r="AB138" s="26">
        <f t="shared" si="131"/>
        <v>2.1599732768222655</v>
      </c>
    </row>
    <row r="139" spans="1:28" x14ac:dyDescent="0.3">
      <c r="A139" t="str">
        <f t="shared" si="123"/>
        <v>71 Sales occupations</v>
      </c>
      <c r="B139" s="26">
        <f t="shared" si="124"/>
        <v>-99.885946195871156</v>
      </c>
      <c r="C139" s="26">
        <f t="shared" si="124"/>
        <v>-39.926270088477395</v>
      </c>
      <c r="D139" s="26">
        <f t="shared" si="124"/>
        <v>-129.8256387422075</v>
      </c>
      <c r="E139" s="26">
        <f t="shared" si="124"/>
        <v>-83.631764118837737</v>
      </c>
      <c r="F139" s="26">
        <f t="shared" si="125"/>
        <v>-213.45740286104524</v>
      </c>
      <c r="L139" t="str">
        <f t="shared" si="126"/>
        <v>71 Sales occupations</v>
      </c>
      <c r="M139" s="26">
        <f t="shared" si="127"/>
        <v>-5.0039046889030487</v>
      </c>
      <c r="N139" s="26">
        <f t="shared" si="127"/>
        <v>-16.98281670198071</v>
      </c>
      <c r="O139" s="26">
        <f t="shared" si="127"/>
        <v>-43.356479249828453</v>
      </c>
      <c r="P139" s="26">
        <f t="shared" si="127"/>
        <v>-13.374559444936494</v>
      </c>
      <c r="Q139" s="26">
        <f t="shared" si="128"/>
        <v>-56.731038694764948</v>
      </c>
      <c r="W139" t="str">
        <f t="shared" si="129"/>
        <v>71 Sales occupations</v>
      </c>
      <c r="X139" s="26">
        <f t="shared" si="130"/>
        <v>-94.882041506969699</v>
      </c>
      <c r="Y139" s="26">
        <f t="shared" si="130"/>
        <v>-22.943453386499186</v>
      </c>
      <c r="Z139" s="26">
        <f t="shared" si="130"/>
        <v>-86.469159492373137</v>
      </c>
      <c r="AA139" s="26">
        <f t="shared" si="130"/>
        <v>-70.257204673904198</v>
      </c>
      <c r="AB139" s="26">
        <f t="shared" si="131"/>
        <v>-156.72636416627734</v>
      </c>
    </row>
    <row r="140" spans="1:28" x14ac:dyDescent="0.3">
      <c r="A140" t="str">
        <f t="shared" si="123"/>
        <v>72 Customer service occupations</v>
      </c>
      <c r="B140" s="26">
        <f t="shared" si="124"/>
        <v>39.233371980768993</v>
      </c>
      <c r="C140" s="26">
        <f t="shared" si="124"/>
        <v>11.197467667394278</v>
      </c>
      <c r="D140" s="26">
        <f t="shared" si="124"/>
        <v>146.6322202730272</v>
      </c>
      <c r="E140" s="26">
        <f t="shared" si="124"/>
        <v>93.287187751632587</v>
      </c>
      <c r="F140" s="26">
        <f t="shared" si="125"/>
        <v>239.91940802465979</v>
      </c>
      <c r="L140" t="str">
        <f t="shared" si="126"/>
        <v>72 Customer service occupations</v>
      </c>
      <c r="M140" s="26">
        <f t="shared" si="127"/>
        <v>-10.584167485466793</v>
      </c>
      <c r="N140" s="26">
        <f t="shared" si="127"/>
        <v>27.059945080864139</v>
      </c>
      <c r="O140" s="26">
        <f t="shared" si="127"/>
        <v>75.901049007963195</v>
      </c>
      <c r="P140" s="26">
        <f t="shared" si="127"/>
        <v>48.81125577387013</v>
      </c>
      <c r="Q140" s="26">
        <f t="shared" si="128"/>
        <v>124.71230478183332</v>
      </c>
      <c r="W140" t="str">
        <f t="shared" si="129"/>
        <v>72 Customer service occupations</v>
      </c>
      <c r="X140" s="26">
        <f t="shared" si="130"/>
        <v>49.817539466235303</v>
      </c>
      <c r="Y140" s="26">
        <f t="shared" si="130"/>
        <v>-15.86247741346898</v>
      </c>
      <c r="Z140" s="26">
        <f t="shared" si="130"/>
        <v>70.731171265064575</v>
      </c>
      <c r="AA140" s="26">
        <f t="shared" si="130"/>
        <v>44.475931977760695</v>
      </c>
      <c r="AB140" s="26">
        <f t="shared" si="131"/>
        <v>115.20710324282527</v>
      </c>
    </row>
    <row r="141" spans="1:28" x14ac:dyDescent="0.3">
      <c r="A141" t="str">
        <f t="shared" si="123"/>
        <v>81 Process, plant and machine operatives</v>
      </c>
      <c r="B141" s="26">
        <f t="shared" si="124"/>
        <v>-21.592687651296046</v>
      </c>
      <c r="C141" s="26">
        <f t="shared" si="124"/>
        <v>-84.438748996457889</v>
      </c>
      <c r="D141" s="26">
        <f t="shared" si="124"/>
        <v>123.73612794634448</v>
      </c>
      <c r="E141" s="26">
        <f t="shared" si="124"/>
        <v>-14.626651433429743</v>
      </c>
      <c r="F141" s="26">
        <f t="shared" si="125"/>
        <v>109.10947651291474</v>
      </c>
      <c r="L141" t="str">
        <f t="shared" si="126"/>
        <v>81 Process, plant and machine operatives</v>
      </c>
      <c r="M141" s="26">
        <f t="shared" si="127"/>
        <v>-27.999976401052777</v>
      </c>
      <c r="N141" s="26">
        <f t="shared" si="127"/>
        <v>-61.699399041678021</v>
      </c>
      <c r="O141" s="26">
        <f t="shared" si="127"/>
        <v>88.106553907758553</v>
      </c>
      <c r="P141" s="26">
        <f t="shared" si="127"/>
        <v>-17.006841364727393</v>
      </c>
      <c r="Q141" s="26">
        <f t="shared" si="128"/>
        <v>71.09971254303116</v>
      </c>
      <c r="W141" t="str">
        <f t="shared" si="129"/>
        <v>81 Process, plant and machine operatives</v>
      </c>
      <c r="X141" s="26">
        <f t="shared" si="130"/>
        <v>6.4072887497567308</v>
      </c>
      <c r="Y141" s="26">
        <f t="shared" si="130"/>
        <v>-22.739349954779925</v>
      </c>
      <c r="Z141" s="26">
        <f t="shared" si="130"/>
        <v>35.629574038586782</v>
      </c>
      <c r="AA141" s="26">
        <f t="shared" si="130"/>
        <v>2.3801899312980765</v>
      </c>
      <c r="AB141" s="26">
        <f t="shared" si="131"/>
        <v>38.009763969884858</v>
      </c>
    </row>
    <row r="142" spans="1:28" x14ac:dyDescent="0.3">
      <c r="A142" t="str">
        <f t="shared" si="123"/>
        <v>82 Transport and mobile machine drivers and operatives</v>
      </c>
      <c r="B142" s="26">
        <f t="shared" si="124"/>
        <v>124.81506717539719</v>
      </c>
      <c r="C142" s="26">
        <f t="shared" si="124"/>
        <v>-123.971790597265</v>
      </c>
      <c r="D142" s="26">
        <f t="shared" si="124"/>
        <v>82.058296793946283</v>
      </c>
      <c r="E142" s="26">
        <f t="shared" si="124"/>
        <v>-1.2180471489414231</v>
      </c>
      <c r="F142" s="26">
        <f t="shared" si="125"/>
        <v>80.84024964500486</v>
      </c>
      <c r="L142" t="str">
        <f t="shared" si="126"/>
        <v>82 Transport and mobile machine drivers and operatives</v>
      </c>
      <c r="M142" s="26">
        <f t="shared" si="127"/>
        <v>123.71914057964784</v>
      </c>
      <c r="N142" s="26">
        <f t="shared" si="127"/>
        <v>-120.19937650795669</v>
      </c>
      <c r="O142" s="26">
        <f t="shared" si="127"/>
        <v>52.320979858235205</v>
      </c>
      <c r="P142" s="26">
        <f t="shared" si="127"/>
        <v>-14.590951051308593</v>
      </c>
      <c r="Q142" s="26">
        <f t="shared" si="128"/>
        <v>37.730028806926612</v>
      </c>
      <c r="W142" t="str">
        <f t="shared" si="129"/>
        <v>82 Transport and mobile machine drivers and operatives</v>
      </c>
      <c r="X142" s="26">
        <f t="shared" si="130"/>
        <v>1.0959265957488213</v>
      </c>
      <c r="Y142" s="26">
        <f t="shared" si="130"/>
        <v>-3.772414089306551</v>
      </c>
      <c r="Z142" s="26">
        <f t="shared" si="130"/>
        <v>29.737316935711107</v>
      </c>
      <c r="AA142" s="26">
        <f t="shared" si="130"/>
        <v>13.372903902368662</v>
      </c>
      <c r="AB142" s="26">
        <f t="shared" si="131"/>
        <v>43.110220838079769</v>
      </c>
    </row>
    <row r="143" spans="1:28" x14ac:dyDescent="0.3">
      <c r="A143" t="str">
        <f t="shared" si="123"/>
        <v>91 Elementary trades and related occupations</v>
      </c>
      <c r="B143" s="26">
        <f t="shared" si="124"/>
        <v>-47.358362022887718</v>
      </c>
      <c r="C143" s="26">
        <f t="shared" si="124"/>
        <v>-47.19825906372597</v>
      </c>
      <c r="D143" s="26">
        <f t="shared" si="124"/>
        <v>-59.947741122590173</v>
      </c>
      <c r="E143" s="26">
        <f t="shared" si="124"/>
        <v>-16.181270329928623</v>
      </c>
      <c r="F143" s="26">
        <f t="shared" si="125"/>
        <v>-76.129011452518796</v>
      </c>
      <c r="L143" t="str">
        <f t="shared" si="126"/>
        <v>91 Elementary trades and related occupations</v>
      </c>
      <c r="M143" s="26">
        <f t="shared" si="127"/>
        <v>-34.7451492088544</v>
      </c>
      <c r="N143" s="26">
        <f t="shared" si="127"/>
        <v>-28.468414882754132</v>
      </c>
      <c r="O143" s="26">
        <f t="shared" si="127"/>
        <v>-50.06591332282548</v>
      </c>
      <c r="P143" s="26">
        <f t="shared" si="127"/>
        <v>-13.505289663007886</v>
      </c>
      <c r="Q143" s="26">
        <f t="shared" si="128"/>
        <v>-63.571202985833366</v>
      </c>
      <c r="W143" t="str">
        <f t="shared" si="129"/>
        <v>91 Elementary trades and related occupations</v>
      </c>
      <c r="X143" s="26">
        <f t="shared" si="130"/>
        <v>-12.613212814033602</v>
      </c>
      <c r="Y143" s="26">
        <f t="shared" si="130"/>
        <v>-18.729844180972648</v>
      </c>
      <c r="Z143" s="26">
        <f t="shared" si="130"/>
        <v>-9.8818277997640536</v>
      </c>
      <c r="AA143" s="26">
        <f t="shared" si="130"/>
        <v>-2.6759806669207649</v>
      </c>
      <c r="AB143" s="26">
        <f t="shared" si="131"/>
        <v>-12.557808466684818</v>
      </c>
    </row>
    <row r="144" spans="1:28" x14ac:dyDescent="0.3">
      <c r="A144" t="str">
        <f t="shared" si="123"/>
        <v>92 Elementary administration and service occupations</v>
      </c>
      <c r="B144" s="26">
        <f t="shared" si="124"/>
        <v>35.408395622701846</v>
      </c>
      <c r="C144" s="26">
        <f t="shared" si="124"/>
        <v>-241.53315861958572</v>
      </c>
      <c r="D144" s="26">
        <f t="shared" si="124"/>
        <v>68.247807269880013</v>
      </c>
      <c r="E144" s="26">
        <f t="shared" si="124"/>
        <v>-86.529521722053232</v>
      </c>
      <c r="F144" s="26">
        <f t="shared" si="125"/>
        <v>-18.281714452173219</v>
      </c>
      <c r="L144" t="str">
        <f t="shared" si="126"/>
        <v>92 Elementary administration and service occupations</v>
      </c>
      <c r="M144" s="26">
        <f t="shared" si="127"/>
        <v>-30.887888939849518</v>
      </c>
      <c r="N144" s="26">
        <f t="shared" si="127"/>
        <v>-75.046324682576824</v>
      </c>
      <c r="O144" s="26">
        <f t="shared" si="127"/>
        <v>88.704935000645946</v>
      </c>
      <c r="P144" s="26">
        <f t="shared" si="127"/>
        <v>-53.685416358775228</v>
      </c>
      <c r="Q144" s="26">
        <f t="shared" si="128"/>
        <v>35.019518641870718</v>
      </c>
      <c r="W144" t="str">
        <f t="shared" si="129"/>
        <v>92 Elementary administration and service occupations</v>
      </c>
      <c r="X144" s="26">
        <f t="shared" si="130"/>
        <v>66.296284562550909</v>
      </c>
      <c r="Y144" s="26">
        <f t="shared" si="130"/>
        <v>-166.48683393700162</v>
      </c>
      <c r="Z144" s="26">
        <f t="shared" si="130"/>
        <v>-20.457127730760931</v>
      </c>
      <c r="AA144" s="26">
        <f t="shared" si="130"/>
        <v>-32.844105363290282</v>
      </c>
      <c r="AB144" s="26">
        <f t="shared" si="131"/>
        <v>-53.301233094051213</v>
      </c>
    </row>
    <row r="145" spans="1:31" x14ac:dyDescent="0.3">
      <c r="C145" s="26"/>
      <c r="F145" s="26"/>
      <c r="N145" s="26"/>
      <c r="Q145" s="26"/>
      <c r="Y145" s="26"/>
      <c r="AB145" s="26"/>
    </row>
    <row r="146" spans="1:31" x14ac:dyDescent="0.3">
      <c r="A146" s="23" t="str">
        <f>A35</f>
        <v>All occupations</v>
      </c>
      <c r="B146" s="28">
        <f>C35-B35</f>
        <v>1556.5879999960925</v>
      </c>
      <c r="C146" s="28">
        <f t="shared" ref="C146" si="132">D35-C35</f>
        <v>-353.07899999882648</v>
      </c>
      <c r="D146" s="28">
        <f>E35-D35</f>
        <v>895.06700001499121</v>
      </c>
      <c r="E146" s="28">
        <f>F35-E35</f>
        <v>1315.3429999888758</v>
      </c>
      <c r="F146" s="28">
        <f t="shared" ref="F146" si="133">F35-D35</f>
        <v>2210.410000003867</v>
      </c>
      <c r="L146" s="23" t="str">
        <f>L35</f>
        <v>All occupations</v>
      </c>
      <c r="M146" s="28">
        <f>N35-M35</f>
        <v>694.14999999825341</v>
      </c>
      <c r="N146" s="28">
        <f t="shared" ref="N146" si="134">O35-N35</f>
        <v>-311.92799999921408</v>
      </c>
      <c r="O146" s="28">
        <f>P35-O35</f>
        <v>430.67200000147022</v>
      </c>
      <c r="P146" s="28">
        <f>Q35-P35</f>
        <v>573.31899999852794</v>
      </c>
      <c r="Q146" s="28">
        <f t="shared" ref="Q146" si="135">Q35-O35</f>
        <v>1003.9909999999982</v>
      </c>
      <c r="W146" s="23" t="str">
        <f>W35</f>
        <v>All occupations</v>
      </c>
      <c r="X146" s="28">
        <f>Y35-X35</f>
        <v>862.43799999785551</v>
      </c>
      <c r="Y146" s="28">
        <f t="shared" ref="Y146" si="136">Z35-Y35</f>
        <v>-41.150999999626947</v>
      </c>
      <c r="Z146" s="28">
        <f>AA35-Z35</f>
        <v>464.39500001355009</v>
      </c>
      <c r="AA146" s="28">
        <f>AB35-AA35</f>
        <v>742.02399999033332</v>
      </c>
      <c r="AB146" s="28">
        <f t="shared" ref="AB146" si="137">AB35-Z35</f>
        <v>1206.4190000038834</v>
      </c>
    </row>
    <row r="150" spans="1:31" x14ac:dyDescent="0.3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3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3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3">
      <c r="A153" s="10" t="str">
        <f t="shared" ref="A153:B178" si="141">A8</f>
        <v>11 Corporate managers and directors</v>
      </c>
      <c r="B153" s="11">
        <f t="shared" si="141"/>
        <v>1899.433639026867</v>
      </c>
      <c r="C153" s="11">
        <f t="shared" ref="C153:F153" si="142">C8</f>
        <v>2252.4434759690844</v>
      </c>
      <c r="D153" s="11">
        <f t="shared" si="142"/>
        <v>2300.8631856488205</v>
      </c>
      <c r="E153" s="11">
        <f t="shared" si="142"/>
        <v>2163.7370255462979</v>
      </c>
      <c r="F153" s="11">
        <f t="shared" si="142"/>
        <v>2367.6940169092045</v>
      </c>
      <c r="H153" s="39">
        <f>IF(D$151-B$151 &lt;&gt; 0,(EXP(LN(D153/B153)/(D$151-B$151))-1)*100,0)</f>
        <v>3.9090403798000217</v>
      </c>
      <c r="I153" s="39">
        <f>IF(F$151-D$151 &lt;&gt; 0,(EXP(LN(F153/D153)/(F$151-D$151))-1)*100,0)</f>
        <v>0.1910632416767255</v>
      </c>
      <c r="L153" s="10" t="str">
        <f>L8</f>
        <v>11 Corporate managers and directors</v>
      </c>
      <c r="M153" s="11">
        <f>M8</f>
        <v>1313.7150399618365</v>
      </c>
      <c r="N153" s="11">
        <f t="shared" ref="N153:Q153" si="143">N8</f>
        <v>1498.0900506444129</v>
      </c>
      <c r="O153" s="11">
        <f t="shared" si="143"/>
        <v>1518.2413496773415</v>
      </c>
      <c r="P153" s="11">
        <f t="shared" si="143"/>
        <v>1380.8422784056459</v>
      </c>
      <c r="Q153" s="11">
        <f t="shared" si="143"/>
        <v>1451.2669141277029</v>
      </c>
      <c r="S153" s="39">
        <f>IF(O$151-M$151 &lt;&gt; 0,(EXP(LN(O153/M153)/(O$151-M$151))-1)*100,0)</f>
        <v>2.9361518670649067</v>
      </c>
      <c r="T153" s="39">
        <f>IF(Q$151-O$151 &lt;&gt; 0,(EXP(LN(Q153/O153)/(Q$151-O$151))-1)*100,0)</f>
        <v>-0.30031979775871909</v>
      </c>
      <c r="W153" s="10" t="str">
        <f>W8</f>
        <v>11 Corporate managers and directors</v>
      </c>
      <c r="X153" s="11">
        <f>X8</f>
        <v>585.71859906502959</v>
      </c>
      <c r="Y153" s="11">
        <f t="shared" ref="Y153:AB153" si="144">Y8</f>
        <v>754.3534253246728</v>
      </c>
      <c r="Z153" s="11">
        <f t="shared" si="144"/>
        <v>782.6218359714743</v>
      </c>
      <c r="AA153" s="11">
        <f t="shared" si="144"/>
        <v>782.89474714065227</v>
      </c>
      <c r="AB153" s="11">
        <f t="shared" si="144"/>
        <v>916.42710278150287</v>
      </c>
      <c r="AD153" s="39">
        <f>IF(Z$151-X$151 &lt;&gt; 0,(EXP(LN(Z153/X153)/(Z$151-X$151))-1)*100,0)</f>
        <v>5.9674757686186686</v>
      </c>
      <c r="AE153" s="39">
        <f>IF(AB$151-Z$151 &lt;&gt; 0,(EXP(LN(AB153/Z153)/(AB$151-Z$151))-1)*100,0)</f>
        <v>1.0577747241631297</v>
      </c>
    </row>
    <row r="154" spans="1:31" x14ac:dyDescent="0.3">
      <c r="A154" s="10" t="str">
        <f t="shared" si="141"/>
        <v>12 Other managers and proprietors</v>
      </c>
      <c r="B154" s="11">
        <f t="shared" si="141"/>
        <v>923.52132759385643</v>
      </c>
      <c r="C154" s="11">
        <f t="shared" ref="C154:F178" si="145">C9</f>
        <v>989.3442272202127</v>
      </c>
      <c r="D154" s="11">
        <f t="shared" si="145"/>
        <v>997.09987935375352</v>
      </c>
      <c r="E154" s="11">
        <f t="shared" si="145"/>
        <v>1237.9309873568443</v>
      </c>
      <c r="F154" s="11">
        <f t="shared" si="145"/>
        <v>1429.4676888704503</v>
      </c>
      <c r="H154" s="39">
        <f t="shared" ref="H154:H180" si="146">IF(D$151-B$151 &lt;&gt; 0,(EXP(LN(D154/B154)/(D$151-B$151))-1)*100,0)</f>
        <v>1.5449539223747921</v>
      </c>
      <c r="I154" s="39">
        <f t="shared" ref="I154:I180" si="147">IF(F$151-D$151 &lt;&gt; 0,(EXP(LN(F154/D154)/(F$151-D$151))-1)*100,0)</f>
        <v>2.4304416563410314</v>
      </c>
      <c r="L154" s="10" t="str">
        <f t="shared" ref="L154:Q154" si="148">L9</f>
        <v>12 Other managers and proprietors</v>
      </c>
      <c r="M154" s="11">
        <f t="shared" si="148"/>
        <v>560.07918748953875</v>
      </c>
      <c r="N154" s="11">
        <f t="shared" si="148"/>
        <v>592.75817151868557</v>
      </c>
      <c r="O154" s="11">
        <f t="shared" si="148"/>
        <v>581.07454147176304</v>
      </c>
      <c r="P154" s="11">
        <f t="shared" si="148"/>
        <v>740.97889271135796</v>
      </c>
      <c r="Q154" s="11">
        <f t="shared" si="148"/>
        <v>849.86568197048359</v>
      </c>
      <c r="S154" s="39">
        <f t="shared" ref="S154:S177" si="149">IF(O$151-M$151 &lt;&gt; 0,(EXP(LN(O154/M154)/(O$151-M$151))-1)*100,0)</f>
        <v>0.73873260984231859</v>
      </c>
      <c r="T154" s="39">
        <f t="shared" ref="T154:T177" si="150">IF(Q$151-O$151 &lt;&gt; 0,(EXP(LN(Q154/O154)/(Q$151-O$151))-1)*100,0)</f>
        <v>2.5670574704306448</v>
      </c>
      <c r="W154" s="10" t="str">
        <f t="shared" ref="W154:AB154" si="151">W9</f>
        <v>12 Other managers and proprietors</v>
      </c>
      <c r="X154" s="11">
        <f t="shared" si="151"/>
        <v>363.44214010432034</v>
      </c>
      <c r="Y154" s="11">
        <f t="shared" si="151"/>
        <v>396.58605570152719</v>
      </c>
      <c r="Z154" s="11">
        <f t="shared" si="151"/>
        <v>416.02533788199293</v>
      </c>
      <c r="AA154" s="11">
        <f t="shared" si="151"/>
        <v>496.95209464548464</v>
      </c>
      <c r="AB154" s="11">
        <f t="shared" si="151"/>
        <v>579.60200689996805</v>
      </c>
      <c r="AD154" s="39">
        <f t="shared" ref="AD154:AD177" si="152">IF(Z$151-X$151 &lt;&gt; 0,(EXP(LN(Z154/X154)/(Z$151-X$151))-1)*100,0)</f>
        <v>2.7393704445168199</v>
      </c>
      <c r="AE154" s="39">
        <f t="shared" ref="AE154:AE177" si="153">IF(AB$151-Z$151 &lt;&gt; 0,(EXP(LN(AB154/Z154)/(AB$151-Z$151))-1)*100,0)</f>
        <v>2.2352523341509833</v>
      </c>
    </row>
    <row r="155" spans="1:31" x14ac:dyDescent="0.3">
      <c r="A155" s="10" t="str">
        <f t="shared" si="141"/>
        <v>21 Science, research, engineering and technology professionals</v>
      </c>
      <c r="B155" s="11">
        <f t="shared" si="141"/>
        <v>1585.0798970775465</v>
      </c>
      <c r="C155" s="11">
        <f t="shared" si="145"/>
        <v>1824.270392837615</v>
      </c>
      <c r="D155" s="11">
        <f t="shared" si="145"/>
        <v>1898.9978151049093</v>
      </c>
      <c r="E155" s="11">
        <f t="shared" si="145"/>
        <v>2020.6337313843233</v>
      </c>
      <c r="F155" s="11">
        <f t="shared" si="145"/>
        <v>2241.4331785640356</v>
      </c>
      <c r="H155" s="39">
        <f t="shared" si="146"/>
        <v>3.6799219059760802</v>
      </c>
      <c r="I155" s="39">
        <f t="shared" si="147"/>
        <v>1.1113918569869208</v>
      </c>
      <c r="L155" s="10" t="str">
        <f t="shared" ref="L155:Q155" si="154">L10</f>
        <v>21 Science, research, engineering and technology professionals</v>
      </c>
      <c r="M155" s="11">
        <f t="shared" si="154"/>
        <v>1259.7640860814031</v>
      </c>
      <c r="N155" s="11">
        <f t="shared" si="154"/>
        <v>1463.5542858755171</v>
      </c>
      <c r="O155" s="11">
        <f t="shared" si="154"/>
        <v>1457.6517402402742</v>
      </c>
      <c r="P155" s="11">
        <f t="shared" si="154"/>
        <v>1498.5831739851676</v>
      </c>
      <c r="Q155" s="11">
        <f t="shared" si="154"/>
        <v>1619.0496933815643</v>
      </c>
      <c r="S155" s="39">
        <f t="shared" si="149"/>
        <v>2.9610375764343555</v>
      </c>
      <c r="T155" s="39">
        <f t="shared" si="150"/>
        <v>0.70254048014193327</v>
      </c>
      <c r="W155" s="10" t="str">
        <f t="shared" ref="W155:AB155" si="155">W10</f>
        <v>21 Science, research, engineering and technology professionals</v>
      </c>
      <c r="X155" s="11">
        <f t="shared" si="155"/>
        <v>325.31581099614459</v>
      </c>
      <c r="Y155" s="11">
        <f t="shared" si="155"/>
        <v>360.71610696210257</v>
      </c>
      <c r="Z155" s="11">
        <f t="shared" si="155"/>
        <v>441.34607486463847</v>
      </c>
      <c r="AA155" s="11">
        <f t="shared" si="155"/>
        <v>522.05055739915599</v>
      </c>
      <c r="AB155" s="11">
        <f t="shared" si="155"/>
        <v>622.3834851824696</v>
      </c>
      <c r="AD155" s="39">
        <f t="shared" si="152"/>
        <v>6.2905904109751498</v>
      </c>
      <c r="AE155" s="39">
        <f t="shared" si="153"/>
        <v>2.317971022931653</v>
      </c>
    </row>
    <row r="156" spans="1:31" x14ac:dyDescent="0.3">
      <c r="A156" s="10" t="str">
        <f t="shared" si="141"/>
        <v>22 Health professionals</v>
      </c>
      <c r="B156" s="11">
        <f t="shared" si="141"/>
        <v>1169.4428202608062</v>
      </c>
      <c r="C156" s="11">
        <f t="shared" si="145"/>
        <v>1354.656644154659</v>
      </c>
      <c r="D156" s="11">
        <f t="shared" si="145"/>
        <v>1353.7379872555568</v>
      </c>
      <c r="E156" s="11">
        <f t="shared" si="145"/>
        <v>1459.9671953626994</v>
      </c>
      <c r="F156" s="11">
        <f t="shared" si="145"/>
        <v>1588.4343307583806</v>
      </c>
      <c r="H156" s="39">
        <f t="shared" si="146"/>
        <v>2.9700976944834645</v>
      </c>
      <c r="I156" s="39">
        <f t="shared" si="147"/>
        <v>1.0715617886405404</v>
      </c>
      <c r="L156" s="10" t="str">
        <f t="shared" ref="L156:Q156" si="156">L11</f>
        <v>22 Health professionals</v>
      </c>
      <c r="M156" s="11">
        <f t="shared" si="156"/>
        <v>290.43686339058593</v>
      </c>
      <c r="N156" s="11">
        <f t="shared" si="156"/>
        <v>333.59696517179577</v>
      </c>
      <c r="O156" s="11">
        <f t="shared" si="156"/>
        <v>362.46900566429906</v>
      </c>
      <c r="P156" s="11">
        <f t="shared" si="156"/>
        <v>387.30762249220737</v>
      </c>
      <c r="Q156" s="11">
        <f t="shared" si="156"/>
        <v>420.52992829177492</v>
      </c>
      <c r="S156" s="39">
        <f t="shared" si="149"/>
        <v>4.5306925406434884</v>
      </c>
      <c r="T156" s="39">
        <f t="shared" si="150"/>
        <v>0.99543300558178061</v>
      </c>
      <c r="W156" s="10" t="str">
        <f t="shared" ref="W156:AB156" si="157">W11</f>
        <v>22 Health professionals</v>
      </c>
      <c r="X156" s="11">
        <f t="shared" si="157"/>
        <v>879.00595687022053</v>
      </c>
      <c r="Y156" s="11">
        <f t="shared" si="157"/>
        <v>1021.0596789828634</v>
      </c>
      <c r="Z156" s="11">
        <f t="shared" si="157"/>
        <v>991.26898159125392</v>
      </c>
      <c r="AA156" s="11">
        <f t="shared" si="157"/>
        <v>1072.6595728704899</v>
      </c>
      <c r="AB156" s="11">
        <f t="shared" si="157"/>
        <v>1167.9044024666046</v>
      </c>
      <c r="AD156" s="39">
        <f t="shared" si="152"/>
        <v>2.4330111805333399</v>
      </c>
      <c r="AE156" s="39">
        <f t="shared" si="153"/>
        <v>1.0991999001131569</v>
      </c>
    </row>
    <row r="157" spans="1:31" x14ac:dyDescent="0.3">
      <c r="A157" s="10" t="str">
        <f t="shared" si="141"/>
        <v>23 Teaching and other educational professionals</v>
      </c>
      <c r="B157" s="11">
        <f t="shared" si="141"/>
        <v>1361.749185159139</v>
      </c>
      <c r="C157" s="11">
        <f t="shared" si="145"/>
        <v>1441.2390325186961</v>
      </c>
      <c r="D157" s="11">
        <f t="shared" si="145"/>
        <v>1500.5047473431287</v>
      </c>
      <c r="E157" s="11">
        <f t="shared" si="145"/>
        <v>1561.7727543970723</v>
      </c>
      <c r="F157" s="11">
        <f t="shared" si="145"/>
        <v>1699.3396854728551</v>
      </c>
      <c r="H157" s="39">
        <f t="shared" si="146"/>
        <v>1.9595828464244347</v>
      </c>
      <c r="I157" s="39">
        <f t="shared" si="147"/>
        <v>0.83303865401318511</v>
      </c>
      <c r="L157" s="10" t="str">
        <f t="shared" ref="L157:Q157" si="158">L12</f>
        <v>23 Teaching and other educational professionals</v>
      </c>
      <c r="M157" s="11">
        <f t="shared" si="158"/>
        <v>465.10978424210231</v>
      </c>
      <c r="N157" s="11">
        <f t="shared" si="158"/>
        <v>463.25280499878852</v>
      </c>
      <c r="O157" s="11">
        <f t="shared" si="158"/>
        <v>488.66186759089578</v>
      </c>
      <c r="P157" s="11">
        <f t="shared" si="158"/>
        <v>526.05222981094414</v>
      </c>
      <c r="Q157" s="11">
        <f t="shared" si="158"/>
        <v>564.79643396783615</v>
      </c>
      <c r="S157" s="39">
        <f t="shared" si="149"/>
        <v>0.99284229967786519</v>
      </c>
      <c r="T157" s="39">
        <f t="shared" si="150"/>
        <v>0.96997135121896783</v>
      </c>
      <c r="W157" s="10" t="str">
        <f t="shared" ref="W157:AB157" si="159">W12</f>
        <v>23 Teaching and other educational professionals</v>
      </c>
      <c r="X157" s="11">
        <f t="shared" si="159"/>
        <v>896.6394009170308</v>
      </c>
      <c r="Y157" s="11">
        <f t="shared" si="159"/>
        <v>977.98622751991206</v>
      </c>
      <c r="Z157" s="11">
        <f t="shared" si="159"/>
        <v>1011.8428797522325</v>
      </c>
      <c r="AA157" s="11">
        <f t="shared" si="159"/>
        <v>1035.7205245861308</v>
      </c>
      <c r="AB157" s="11">
        <f t="shared" si="159"/>
        <v>1134.543251505017</v>
      </c>
      <c r="AD157" s="39">
        <f t="shared" si="152"/>
        <v>2.4469544440765656</v>
      </c>
      <c r="AE157" s="39">
        <f t="shared" si="153"/>
        <v>0.76596425672939006</v>
      </c>
    </row>
    <row r="158" spans="1:31" x14ac:dyDescent="0.3">
      <c r="A158" s="10" t="str">
        <f t="shared" si="141"/>
        <v>24 Business, media and public service professionals</v>
      </c>
      <c r="B158" s="11">
        <f t="shared" si="141"/>
        <v>1796.9718795456633</v>
      </c>
      <c r="C158" s="11">
        <f t="shared" si="145"/>
        <v>2126.0095445543111</v>
      </c>
      <c r="D158" s="11">
        <f t="shared" si="145"/>
        <v>2289.6674970727631</v>
      </c>
      <c r="E158" s="11">
        <f t="shared" si="145"/>
        <v>2575.4665831091975</v>
      </c>
      <c r="F158" s="11">
        <f t="shared" si="145"/>
        <v>2883.476674638734</v>
      </c>
      <c r="H158" s="39">
        <f t="shared" si="146"/>
        <v>4.965415111673388</v>
      </c>
      <c r="I158" s="39">
        <f t="shared" si="147"/>
        <v>1.5491443092783719</v>
      </c>
      <c r="L158" s="10" t="str">
        <f t="shared" ref="L158:Q158" si="160">L13</f>
        <v>24 Business, media and public service professionals</v>
      </c>
      <c r="M158" s="11">
        <f t="shared" si="160"/>
        <v>1057.078509263207</v>
      </c>
      <c r="N158" s="11">
        <f t="shared" si="160"/>
        <v>1204.1427079986345</v>
      </c>
      <c r="O158" s="11">
        <f t="shared" si="160"/>
        <v>1269.4975134502063</v>
      </c>
      <c r="P158" s="11">
        <f t="shared" si="160"/>
        <v>1433.6420600711158</v>
      </c>
      <c r="Q158" s="11">
        <f t="shared" si="160"/>
        <v>1563.3594353607639</v>
      </c>
      <c r="S158" s="39">
        <f t="shared" si="149"/>
        <v>3.7301300051352015</v>
      </c>
      <c r="T158" s="39">
        <f t="shared" si="150"/>
        <v>1.3977844276637619</v>
      </c>
      <c r="W158" s="10" t="str">
        <f t="shared" ref="W158:AB158" si="161">W13</f>
        <v>24 Business, media and public service professionals</v>
      </c>
      <c r="X158" s="11">
        <f t="shared" si="161"/>
        <v>739.89337028246007</v>
      </c>
      <c r="Y158" s="11">
        <f t="shared" si="161"/>
        <v>921.86683655567776</v>
      </c>
      <c r="Z158" s="11">
        <f t="shared" si="161"/>
        <v>1020.1699836225596</v>
      </c>
      <c r="AA158" s="11">
        <f t="shared" si="161"/>
        <v>1141.8245230380751</v>
      </c>
      <c r="AB158" s="11">
        <f t="shared" si="161"/>
        <v>1320.1172392779663</v>
      </c>
      <c r="AD158" s="39">
        <f t="shared" si="152"/>
        <v>6.6352228907129662</v>
      </c>
      <c r="AE158" s="39">
        <f t="shared" si="153"/>
        <v>1.7331903299776519</v>
      </c>
    </row>
    <row r="159" spans="1:31" x14ac:dyDescent="0.3">
      <c r="A159" s="10" t="str">
        <f t="shared" si="141"/>
        <v>31 Science, engineering and technology associate professionals</v>
      </c>
      <c r="B159" s="11">
        <f t="shared" si="141"/>
        <v>463.28274271165401</v>
      </c>
      <c r="C159" s="11">
        <f t="shared" si="145"/>
        <v>545.82660644977284</v>
      </c>
      <c r="D159" s="11">
        <f t="shared" si="145"/>
        <v>591.71409062760927</v>
      </c>
      <c r="E159" s="11">
        <f t="shared" si="145"/>
        <v>524.31655610528492</v>
      </c>
      <c r="F159" s="11">
        <f t="shared" si="145"/>
        <v>561.40487958926167</v>
      </c>
      <c r="H159" s="39">
        <f t="shared" si="146"/>
        <v>5.0154403194468511</v>
      </c>
      <c r="I159" s="39">
        <f t="shared" si="147"/>
        <v>-0.34992770423570851</v>
      </c>
      <c r="L159" s="10" t="str">
        <f t="shared" ref="L159:Q159" si="162">L14</f>
        <v>31 Science, engineering and technology associate professionals</v>
      </c>
      <c r="M159" s="11">
        <f t="shared" si="162"/>
        <v>335.31622358632461</v>
      </c>
      <c r="N159" s="11">
        <f t="shared" si="162"/>
        <v>409.51259478084006</v>
      </c>
      <c r="O159" s="11">
        <f t="shared" si="162"/>
        <v>425.45347934567582</v>
      </c>
      <c r="P159" s="11">
        <f t="shared" si="162"/>
        <v>351.24294144724433</v>
      </c>
      <c r="Q159" s="11">
        <f t="shared" si="162"/>
        <v>357.29156698295992</v>
      </c>
      <c r="S159" s="39">
        <f t="shared" si="149"/>
        <v>4.8768181018040924</v>
      </c>
      <c r="T159" s="39">
        <f t="shared" si="150"/>
        <v>-1.1572744467560514</v>
      </c>
      <c r="W159" s="10" t="str">
        <f t="shared" ref="W159:AB159" si="163">W14</f>
        <v>31 Science, engineering and technology associate professionals</v>
      </c>
      <c r="X159" s="11">
        <f t="shared" si="163"/>
        <v>127.96651912533001</v>
      </c>
      <c r="Y159" s="11">
        <f t="shared" si="163"/>
        <v>136.31401166893244</v>
      </c>
      <c r="Z159" s="11">
        <f t="shared" si="163"/>
        <v>166.26061128193439</v>
      </c>
      <c r="AA159" s="11">
        <f t="shared" si="163"/>
        <v>173.07361465803993</v>
      </c>
      <c r="AB159" s="11">
        <f t="shared" si="163"/>
        <v>204.11331260630206</v>
      </c>
      <c r="AD159" s="39">
        <f t="shared" si="152"/>
        <v>5.3752464243236098</v>
      </c>
      <c r="AE159" s="39">
        <f t="shared" si="153"/>
        <v>1.3768510711312354</v>
      </c>
    </row>
    <row r="160" spans="1:31" x14ac:dyDescent="0.3">
      <c r="A160" s="10" t="str">
        <f t="shared" si="141"/>
        <v>32 Health and social care associate professionals</v>
      </c>
      <c r="B160" s="11">
        <f t="shared" si="141"/>
        <v>493.00201988165986</v>
      </c>
      <c r="C160" s="11">
        <f t="shared" si="145"/>
        <v>555.82389825767791</v>
      </c>
      <c r="D160" s="11">
        <f t="shared" si="145"/>
        <v>568.76339753397008</v>
      </c>
      <c r="E160" s="11">
        <f t="shared" si="145"/>
        <v>577.22636351327287</v>
      </c>
      <c r="F160" s="11">
        <f t="shared" si="145"/>
        <v>632.02415358167207</v>
      </c>
      <c r="H160" s="39">
        <f t="shared" si="146"/>
        <v>2.9002875168829156</v>
      </c>
      <c r="I160" s="39">
        <f t="shared" si="147"/>
        <v>0.70556469457463411</v>
      </c>
      <c r="L160" s="10" t="str">
        <f t="shared" ref="L160:Q160" si="164">L15</f>
        <v>32 Health and social care associate professionals</v>
      </c>
      <c r="M160" s="11">
        <f t="shared" si="164"/>
        <v>114.49174703160232</v>
      </c>
      <c r="N160" s="11">
        <f t="shared" si="164"/>
        <v>118.5837107643288</v>
      </c>
      <c r="O160" s="11">
        <f t="shared" si="164"/>
        <v>129.88613167068607</v>
      </c>
      <c r="P160" s="11">
        <f t="shared" si="164"/>
        <v>118.8680502686726</v>
      </c>
      <c r="Q160" s="11">
        <f t="shared" si="164"/>
        <v>125.92776715752774</v>
      </c>
      <c r="S160" s="39">
        <f t="shared" si="149"/>
        <v>2.5552080658008292</v>
      </c>
      <c r="T160" s="39">
        <f t="shared" si="150"/>
        <v>-0.20611855241899901</v>
      </c>
      <c r="W160" s="10" t="str">
        <f t="shared" ref="W160:AB160" si="165">W15</f>
        <v>32 Health and social care associate professionals</v>
      </c>
      <c r="X160" s="11">
        <f t="shared" si="165"/>
        <v>378.51027285005705</v>
      </c>
      <c r="Y160" s="11">
        <f t="shared" si="165"/>
        <v>437.24018749334897</v>
      </c>
      <c r="Z160" s="11">
        <f t="shared" si="165"/>
        <v>438.87726586328404</v>
      </c>
      <c r="AA160" s="11">
        <f t="shared" si="165"/>
        <v>458.35831324460031</v>
      </c>
      <c r="AB160" s="11">
        <f t="shared" si="165"/>
        <v>506.09638642414427</v>
      </c>
      <c r="AD160" s="39">
        <f t="shared" si="152"/>
        <v>3.003761066223154</v>
      </c>
      <c r="AE160" s="39">
        <f t="shared" si="153"/>
        <v>0.95457622930450459</v>
      </c>
    </row>
    <row r="161" spans="1:31" x14ac:dyDescent="0.3">
      <c r="A161" s="10" t="str">
        <f t="shared" si="141"/>
        <v>33 Protective service occupations</v>
      </c>
      <c r="B161" s="11">
        <f t="shared" si="141"/>
        <v>294.53338224612929</v>
      </c>
      <c r="C161" s="11">
        <f t="shared" si="145"/>
        <v>302.83777946632188</v>
      </c>
      <c r="D161" s="11">
        <f t="shared" si="145"/>
        <v>321.69473826189443</v>
      </c>
      <c r="E161" s="11">
        <f t="shared" si="145"/>
        <v>383.8000265113613</v>
      </c>
      <c r="F161" s="11">
        <f t="shared" si="145"/>
        <v>442.14672512900484</v>
      </c>
      <c r="H161" s="39">
        <f t="shared" si="146"/>
        <v>1.7798687702755389</v>
      </c>
      <c r="I161" s="39">
        <f t="shared" si="147"/>
        <v>2.1428952180943206</v>
      </c>
      <c r="L161" s="10" t="str">
        <f t="shared" ref="L161:Q161" si="166">L16</f>
        <v>33 Protective service occupations</v>
      </c>
      <c r="M161" s="11">
        <f t="shared" si="166"/>
        <v>229.71943815941165</v>
      </c>
      <c r="N161" s="11">
        <f t="shared" si="166"/>
        <v>230.20991784316666</v>
      </c>
      <c r="O161" s="11">
        <f t="shared" si="166"/>
        <v>240.01153300204598</v>
      </c>
      <c r="P161" s="11">
        <f t="shared" si="166"/>
        <v>274.54057987788394</v>
      </c>
      <c r="Q161" s="11">
        <f t="shared" si="166"/>
        <v>297.39809617999998</v>
      </c>
      <c r="S161" s="39">
        <f t="shared" si="149"/>
        <v>0.88041800298224171</v>
      </c>
      <c r="T161" s="39">
        <f t="shared" si="150"/>
        <v>1.4394933800401022</v>
      </c>
      <c r="W161" s="10" t="str">
        <f t="shared" ref="W161:AB161" si="167">W16</f>
        <v>33 Protective service occupations</v>
      </c>
      <c r="X161" s="11">
        <f t="shared" si="167"/>
        <v>64.813944086716745</v>
      </c>
      <c r="Y161" s="11">
        <f t="shared" si="167"/>
        <v>72.62786162315723</v>
      </c>
      <c r="Z161" s="11">
        <f t="shared" si="167"/>
        <v>81.683205259849089</v>
      </c>
      <c r="AA161" s="11">
        <f t="shared" si="167"/>
        <v>109.25944663347869</v>
      </c>
      <c r="AB161" s="11">
        <f t="shared" si="167"/>
        <v>144.74862894900483</v>
      </c>
      <c r="AD161" s="39">
        <f t="shared" si="152"/>
        <v>4.735247712789481</v>
      </c>
      <c r="AE161" s="39">
        <f t="shared" si="153"/>
        <v>3.8880144274352713</v>
      </c>
    </row>
    <row r="162" spans="1:31" x14ac:dyDescent="0.3">
      <c r="A162" s="10" t="str">
        <f t="shared" si="141"/>
        <v>34 Culture, media and sports occupations</v>
      </c>
      <c r="B162" s="11">
        <f t="shared" si="141"/>
        <v>627.36985128235654</v>
      </c>
      <c r="C162" s="11">
        <f t="shared" si="145"/>
        <v>627.37830048121612</v>
      </c>
      <c r="D162" s="11">
        <f t="shared" si="145"/>
        <v>678.67489071769273</v>
      </c>
      <c r="E162" s="11">
        <f t="shared" si="145"/>
        <v>673.70053836370653</v>
      </c>
      <c r="F162" s="11">
        <f t="shared" si="145"/>
        <v>746.4495820140279</v>
      </c>
      <c r="H162" s="39">
        <f t="shared" si="146"/>
        <v>1.5845421248475766</v>
      </c>
      <c r="I162" s="39">
        <f t="shared" si="147"/>
        <v>0.63659013431613953</v>
      </c>
      <c r="L162" s="10" t="str">
        <f t="shared" ref="L162:Q162" si="168">L17</f>
        <v>34 Culture, media and sports occupations</v>
      </c>
      <c r="M162" s="11">
        <f t="shared" si="168"/>
        <v>347.34112331081229</v>
      </c>
      <c r="N162" s="11">
        <f t="shared" si="168"/>
        <v>341.00638116839383</v>
      </c>
      <c r="O162" s="11">
        <f t="shared" si="168"/>
        <v>349.86571390066342</v>
      </c>
      <c r="P162" s="11">
        <f t="shared" si="168"/>
        <v>349.87269233460825</v>
      </c>
      <c r="Q162" s="11">
        <f t="shared" si="168"/>
        <v>386.57977765691373</v>
      </c>
      <c r="S162" s="39">
        <f t="shared" si="149"/>
        <v>0.14494584389379561</v>
      </c>
      <c r="T162" s="39">
        <f t="shared" si="150"/>
        <v>0.66747676917036092</v>
      </c>
      <c r="W162" s="10" t="str">
        <f t="shared" ref="W162:AB162" si="169">W17</f>
        <v>34 Culture, media and sports occupations</v>
      </c>
      <c r="X162" s="11">
        <f t="shared" si="169"/>
        <v>280.02872797154504</v>
      </c>
      <c r="Y162" s="11">
        <f t="shared" si="169"/>
        <v>286.37191931282297</v>
      </c>
      <c r="Z162" s="11">
        <f t="shared" si="169"/>
        <v>328.80917681702982</v>
      </c>
      <c r="AA162" s="11">
        <f t="shared" si="169"/>
        <v>323.82784602909931</v>
      </c>
      <c r="AB162" s="11">
        <f t="shared" si="169"/>
        <v>359.8698043571124</v>
      </c>
      <c r="AD162" s="39">
        <f t="shared" si="152"/>
        <v>3.2638394371637069</v>
      </c>
      <c r="AE162" s="39">
        <f t="shared" si="153"/>
        <v>0.6035791668120849</v>
      </c>
    </row>
    <row r="163" spans="1:31" x14ac:dyDescent="0.3">
      <c r="A163" s="10" t="str">
        <f t="shared" si="141"/>
        <v>35 Business and public service associate professionals</v>
      </c>
      <c r="B163" s="11">
        <f t="shared" si="141"/>
        <v>1794.8908672659011</v>
      </c>
      <c r="C163" s="11">
        <f t="shared" si="145"/>
        <v>1934.4233181110706</v>
      </c>
      <c r="D163" s="11">
        <f t="shared" si="145"/>
        <v>1991.4785005112092</v>
      </c>
      <c r="E163" s="11">
        <f t="shared" si="145"/>
        <v>1926.1668320533122</v>
      </c>
      <c r="F163" s="11">
        <f t="shared" si="145"/>
        <v>2011.855838852345</v>
      </c>
      <c r="H163" s="39">
        <f t="shared" si="146"/>
        <v>2.1004167757346481</v>
      </c>
      <c r="I163" s="39">
        <f t="shared" si="147"/>
        <v>6.7891509494089064E-2</v>
      </c>
      <c r="L163" s="10" t="str">
        <f t="shared" ref="L163:Q163" si="170">L18</f>
        <v>35 Business and public service associate professionals</v>
      </c>
      <c r="M163" s="11">
        <f t="shared" si="170"/>
        <v>965.95917277592878</v>
      </c>
      <c r="N163" s="11">
        <f t="shared" si="170"/>
        <v>1018.4470827087142</v>
      </c>
      <c r="O163" s="11">
        <f t="shared" si="170"/>
        <v>1052.4349280010256</v>
      </c>
      <c r="P163" s="11">
        <f t="shared" si="170"/>
        <v>985.35328977590461</v>
      </c>
      <c r="Q163" s="11">
        <f t="shared" si="170"/>
        <v>986.77342770073051</v>
      </c>
      <c r="S163" s="39">
        <f t="shared" si="149"/>
        <v>1.7295905236951903</v>
      </c>
      <c r="T163" s="39">
        <f t="shared" si="150"/>
        <v>-0.4285542805616438</v>
      </c>
      <c r="W163" s="10" t="str">
        <f t="shared" ref="W163:AB163" si="171">W18</f>
        <v>35 Business and public service associate professionals</v>
      </c>
      <c r="X163" s="11">
        <f t="shared" si="171"/>
        <v>828.93169448996821</v>
      </c>
      <c r="Y163" s="11">
        <f t="shared" si="171"/>
        <v>915.97623540235111</v>
      </c>
      <c r="Z163" s="11">
        <f t="shared" si="171"/>
        <v>939.04357251018348</v>
      </c>
      <c r="AA163" s="11">
        <f t="shared" si="171"/>
        <v>940.81354227741213</v>
      </c>
      <c r="AB163" s="11">
        <f t="shared" si="171"/>
        <v>1025.0824111516172</v>
      </c>
      <c r="AD163" s="39">
        <f t="shared" si="152"/>
        <v>2.5258550232390542</v>
      </c>
      <c r="AE163" s="39">
        <f t="shared" si="153"/>
        <v>0.58615392006222677</v>
      </c>
    </row>
    <row r="164" spans="1:31" x14ac:dyDescent="0.3">
      <c r="A164" s="10" t="str">
        <f t="shared" si="141"/>
        <v>41 Administrative occupations</v>
      </c>
      <c r="B164" s="11">
        <f t="shared" si="141"/>
        <v>2509.3095493404007</v>
      </c>
      <c r="C164" s="11">
        <f t="shared" si="145"/>
        <v>2472.5923602894604</v>
      </c>
      <c r="D164" s="11">
        <f t="shared" si="145"/>
        <v>2574.3940918239059</v>
      </c>
      <c r="E164" s="11">
        <f t="shared" si="145"/>
        <v>2372.2937772534642</v>
      </c>
      <c r="F164" s="11">
        <f t="shared" si="145"/>
        <v>2246.6551666385835</v>
      </c>
      <c r="H164" s="39">
        <f t="shared" si="146"/>
        <v>0.51344497255396693</v>
      </c>
      <c r="I164" s="39">
        <f t="shared" si="147"/>
        <v>-0.90370306633366093</v>
      </c>
      <c r="L164" s="10" t="str">
        <f t="shared" ref="L164:Q164" si="172">L19</f>
        <v>41 Administrative occupations</v>
      </c>
      <c r="M164" s="11">
        <f t="shared" si="172"/>
        <v>727.83657437185593</v>
      </c>
      <c r="N164" s="11">
        <f t="shared" si="172"/>
        <v>694.85889696752349</v>
      </c>
      <c r="O164" s="11">
        <f t="shared" si="172"/>
        <v>821.77107881001939</v>
      </c>
      <c r="P164" s="11">
        <f t="shared" si="172"/>
        <v>782.66320359816132</v>
      </c>
      <c r="Q164" s="11">
        <f t="shared" si="172"/>
        <v>845.4746752433706</v>
      </c>
      <c r="S164" s="39">
        <f t="shared" si="149"/>
        <v>2.4574152430376861</v>
      </c>
      <c r="T164" s="39">
        <f t="shared" si="150"/>
        <v>0.1897554892951625</v>
      </c>
      <c r="W164" s="10" t="str">
        <f t="shared" ref="W164:AB164" si="173">W19</f>
        <v>41 Administrative occupations</v>
      </c>
      <c r="X164" s="11">
        <f t="shared" si="173"/>
        <v>1781.4729749685393</v>
      </c>
      <c r="Y164" s="11">
        <f t="shared" si="173"/>
        <v>1777.733463321933</v>
      </c>
      <c r="Z164" s="11">
        <f t="shared" si="173"/>
        <v>1752.6230130138795</v>
      </c>
      <c r="AA164" s="11">
        <f t="shared" si="173"/>
        <v>1589.6305736553024</v>
      </c>
      <c r="AB164" s="11">
        <f t="shared" si="173"/>
        <v>1401.1804913952133</v>
      </c>
      <c r="AD164" s="39">
        <f t="shared" si="152"/>
        <v>-0.32600755343499266</v>
      </c>
      <c r="AE164" s="39">
        <f t="shared" si="153"/>
        <v>-1.4809145887154651</v>
      </c>
    </row>
    <row r="165" spans="1:31" x14ac:dyDescent="0.3">
      <c r="A165" s="10" t="str">
        <f t="shared" si="141"/>
        <v>42 Secretarial and related occupations</v>
      </c>
      <c r="B165" s="11">
        <f t="shared" si="141"/>
        <v>640.1842113063916</v>
      </c>
      <c r="C165" s="11">
        <f t="shared" si="145"/>
        <v>588.31426570119652</v>
      </c>
      <c r="D165" s="11">
        <f t="shared" si="145"/>
        <v>572.63624585098148</v>
      </c>
      <c r="E165" s="11">
        <f t="shared" si="145"/>
        <v>596.67421976235141</v>
      </c>
      <c r="F165" s="11">
        <f t="shared" si="145"/>
        <v>473.46688944481207</v>
      </c>
      <c r="H165" s="39">
        <f t="shared" si="146"/>
        <v>-2.20542245349582</v>
      </c>
      <c r="I165" s="39">
        <f t="shared" si="147"/>
        <v>-1.2597887675764419</v>
      </c>
      <c r="L165" s="10" t="str">
        <f t="shared" ref="L165:Q165" si="174">L20</f>
        <v>42 Secretarial and related occupations</v>
      </c>
      <c r="M165" s="11">
        <f t="shared" si="174"/>
        <v>46.093453153348051</v>
      </c>
      <c r="N165" s="11">
        <f t="shared" si="174"/>
        <v>36.224104031741653</v>
      </c>
      <c r="O165" s="11">
        <f t="shared" si="174"/>
        <v>34.880414988977662</v>
      </c>
      <c r="P165" s="11">
        <f t="shared" si="174"/>
        <v>45.655908066404145</v>
      </c>
      <c r="Q165" s="11">
        <f t="shared" si="174"/>
        <v>55.142420484503241</v>
      </c>
      <c r="S165" s="39">
        <f t="shared" si="149"/>
        <v>-5.4223585203550861</v>
      </c>
      <c r="T165" s="39">
        <f t="shared" si="150"/>
        <v>3.1003830487686512</v>
      </c>
      <c r="W165" s="10" t="str">
        <f t="shared" ref="W165:AB165" si="175">W20</f>
        <v>42 Secretarial and related occupations</v>
      </c>
      <c r="X165" s="11">
        <f t="shared" si="175"/>
        <v>594.09075815304334</v>
      </c>
      <c r="Y165" s="11">
        <f t="shared" si="175"/>
        <v>552.09016166945469</v>
      </c>
      <c r="Z165" s="11">
        <f t="shared" si="175"/>
        <v>537.75583086200299</v>
      </c>
      <c r="AA165" s="11">
        <f t="shared" si="175"/>
        <v>551.01831169594618</v>
      </c>
      <c r="AB165" s="11">
        <f t="shared" si="175"/>
        <v>418.32446896030871</v>
      </c>
      <c r="AD165" s="39">
        <f t="shared" si="152"/>
        <v>-1.9728296825764158</v>
      </c>
      <c r="AE165" s="39">
        <f t="shared" si="153"/>
        <v>-1.6603761704954811</v>
      </c>
    </row>
    <row r="166" spans="1:31" x14ac:dyDescent="0.3">
      <c r="A166" s="10" t="str">
        <f t="shared" si="141"/>
        <v>51 Skilled agricultural and related trades</v>
      </c>
      <c r="B166" s="11">
        <f t="shared" si="141"/>
        <v>298.83864607965563</v>
      </c>
      <c r="C166" s="11">
        <f t="shared" si="145"/>
        <v>302.26783410806149</v>
      </c>
      <c r="D166" s="11">
        <f t="shared" si="145"/>
        <v>271.23814466195341</v>
      </c>
      <c r="E166" s="11">
        <f t="shared" si="145"/>
        <v>278.07886381464004</v>
      </c>
      <c r="F166" s="11">
        <f t="shared" si="145"/>
        <v>309.33559436851789</v>
      </c>
      <c r="H166" s="39">
        <f t="shared" si="146"/>
        <v>-1.9194706789793292</v>
      </c>
      <c r="I166" s="39">
        <f t="shared" si="147"/>
        <v>0.8800468813655149</v>
      </c>
      <c r="L166" s="10" t="str">
        <f t="shared" ref="L166:Q166" si="176">L21</f>
        <v>51 Skilled agricultural and related trades</v>
      </c>
      <c r="M166" s="11">
        <f t="shared" si="176"/>
        <v>250.64111379511544</v>
      </c>
      <c r="N166" s="11">
        <f t="shared" si="176"/>
        <v>252.30613759773524</v>
      </c>
      <c r="O166" s="11">
        <f t="shared" si="176"/>
        <v>216.4917872484462</v>
      </c>
      <c r="P166" s="11">
        <f t="shared" si="176"/>
        <v>215.99991888401519</v>
      </c>
      <c r="Q166" s="11">
        <f t="shared" si="176"/>
        <v>232.90152987381191</v>
      </c>
      <c r="S166" s="39">
        <f t="shared" si="149"/>
        <v>-2.8868988590410427</v>
      </c>
      <c r="T166" s="39">
        <f t="shared" si="150"/>
        <v>0.48827575406369395</v>
      </c>
      <c r="W166" s="10" t="str">
        <f t="shared" ref="W166:AB166" si="177">W21</f>
        <v>51 Skilled agricultural and related trades</v>
      </c>
      <c r="X166" s="11">
        <f t="shared" si="177"/>
        <v>48.197532284540223</v>
      </c>
      <c r="Y166" s="11">
        <f t="shared" si="177"/>
        <v>49.961696510325559</v>
      </c>
      <c r="Z166" s="11">
        <f t="shared" si="177"/>
        <v>54.746357413507347</v>
      </c>
      <c r="AA166" s="11">
        <f t="shared" si="177"/>
        <v>62.078944930624594</v>
      </c>
      <c r="AB166" s="11">
        <f t="shared" si="177"/>
        <v>76.434064494706206</v>
      </c>
      <c r="AD166" s="39">
        <f t="shared" si="152"/>
        <v>2.5808008047337294</v>
      </c>
      <c r="AE166" s="39">
        <f t="shared" si="153"/>
        <v>2.2497170944500544</v>
      </c>
    </row>
    <row r="167" spans="1:31" x14ac:dyDescent="0.3">
      <c r="A167" s="10" t="str">
        <f t="shared" si="141"/>
        <v>52 Skilled metal, electrical and electronic trades</v>
      </c>
      <c r="B167" s="11">
        <f t="shared" si="141"/>
        <v>1042.1574658136535</v>
      </c>
      <c r="C167" s="11">
        <f t="shared" si="145"/>
        <v>1064.18444026626</v>
      </c>
      <c r="D167" s="11">
        <f t="shared" si="145"/>
        <v>926.35566763503004</v>
      </c>
      <c r="E167" s="11">
        <f t="shared" si="145"/>
        <v>921.75387247782987</v>
      </c>
      <c r="F167" s="11">
        <f t="shared" si="145"/>
        <v>872.67621532730266</v>
      </c>
      <c r="H167" s="39">
        <f t="shared" si="146"/>
        <v>-2.3282691912878573</v>
      </c>
      <c r="I167" s="39">
        <f t="shared" si="147"/>
        <v>-0.39716687477455714</v>
      </c>
      <c r="L167" s="10" t="str">
        <f t="shared" ref="L167:Q167" si="178">L22</f>
        <v>52 Skilled metal, electrical and electronic trades</v>
      </c>
      <c r="M167" s="11">
        <f t="shared" si="178"/>
        <v>1024.0224599930325</v>
      </c>
      <c r="N167" s="11">
        <f t="shared" si="178"/>
        <v>1033.9838601018039</v>
      </c>
      <c r="O167" s="11">
        <f t="shared" si="178"/>
        <v>902.88263585794652</v>
      </c>
      <c r="P167" s="11">
        <f t="shared" si="178"/>
        <v>868.66180646484361</v>
      </c>
      <c r="Q167" s="11">
        <f t="shared" si="178"/>
        <v>805.40123660550387</v>
      </c>
      <c r="S167" s="39">
        <f t="shared" si="149"/>
        <v>-2.4865855229406875</v>
      </c>
      <c r="T167" s="39">
        <f t="shared" si="150"/>
        <v>-0.75878650126981473</v>
      </c>
      <c r="W167" s="10" t="str">
        <f t="shared" ref="W167:AB167" si="179">W22</f>
        <v>52 Skilled metal, electrical and electronic trades</v>
      </c>
      <c r="X167" s="11">
        <f t="shared" si="179"/>
        <v>18.135005820620453</v>
      </c>
      <c r="Y167" s="11">
        <f t="shared" si="179"/>
        <v>30.200580164460817</v>
      </c>
      <c r="Z167" s="11">
        <f t="shared" si="179"/>
        <v>23.473031777086184</v>
      </c>
      <c r="AA167" s="11">
        <f t="shared" si="179"/>
        <v>53.092066012984823</v>
      </c>
      <c r="AB167" s="11">
        <f t="shared" si="179"/>
        <v>67.27497872179913</v>
      </c>
      <c r="AD167" s="39">
        <f t="shared" si="152"/>
        <v>5.2956179003339487</v>
      </c>
      <c r="AE167" s="39">
        <f t="shared" si="153"/>
        <v>7.2718141855306895</v>
      </c>
    </row>
    <row r="168" spans="1:31" x14ac:dyDescent="0.3">
      <c r="A168" s="10" t="str">
        <f t="shared" si="141"/>
        <v>53 Skilled construction and building trades</v>
      </c>
      <c r="B168" s="11">
        <f t="shared" si="141"/>
        <v>918.22690874959676</v>
      </c>
      <c r="C168" s="11">
        <f t="shared" si="145"/>
        <v>907.39739905518638</v>
      </c>
      <c r="D168" s="11">
        <f t="shared" si="145"/>
        <v>767.57313691964396</v>
      </c>
      <c r="E168" s="11">
        <f t="shared" si="145"/>
        <v>809.08762001601656</v>
      </c>
      <c r="F168" s="11">
        <f t="shared" si="145"/>
        <v>763.22944153326262</v>
      </c>
      <c r="H168" s="39">
        <f t="shared" si="146"/>
        <v>-3.5207429894939968</v>
      </c>
      <c r="I168" s="39">
        <f t="shared" si="147"/>
        <v>-3.7826653931716248E-2</v>
      </c>
      <c r="L168" s="10" t="str">
        <f t="shared" ref="L168:Q168" si="180">L23</f>
        <v>53 Skilled construction and building trades</v>
      </c>
      <c r="M168" s="11">
        <f t="shared" si="180"/>
        <v>903.50029006499324</v>
      </c>
      <c r="N168" s="11">
        <f t="shared" si="180"/>
        <v>889.03762345727</v>
      </c>
      <c r="O168" s="11">
        <f t="shared" si="180"/>
        <v>749.05260189348758</v>
      </c>
      <c r="P168" s="11">
        <f t="shared" si="180"/>
        <v>788.66788828484016</v>
      </c>
      <c r="Q168" s="11">
        <f t="shared" si="180"/>
        <v>738.35548474687459</v>
      </c>
      <c r="S168" s="39">
        <f t="shared" si="149"/>
        <v>-3.6799267657898205</v>
      </c>
      <c r="T168" s="39">
        <f t="shared" si="150"/>
        <v>-9.5846140036293104E-2</v>
      </c>
      <c r="W168" s="10" t="str">
        <f t="shared" ref="W168:AB168" si="181">W23</f>
        <v>53 Skilled construction and building trades</v>
      </c>
      <c r="X168" s="11">
        <f t="shared" si="181"/>
        <v>14.726618684604235</v>
      </c>
      <c r="Y168" s="11">
        <f t="shared" si="181"/>
        <v>18.359775597916549</v>
      </c>
      <c r="Z168" s="11">
        <f t="shared" si="181"/>
        <v>18.520535026156988</v>
      </c>
      <c r="AA168" s="11">
        <f t="shared" si="181"/>
        <v>20.419731731176622</v>
      </c>
      <c r="AB168" s="11">
        <f t="shared" si="181"/>
        <v>24.873956786388767</v>
      </c>
      <c r="AD168" s="39">
        <f t="shared" si="152"/>
        <v>4.6911805966880271</v>
      </c>
      <c r="AE168" s="39">
        <f t="shared" si="153"/>
        <v>1.9857333506014818</v>
      </c>
    </row>
    <row r="169" spans="1:31" x14ac:dyDescent="0.3">
      <c r="A169" s="10" t="str">
        <f t="shared" si="141"/>
        <v>54 Textiles, printing and other skilled trades</v>
      </c>
      <c r="B169" s="11">
        <f t="shared" si="141"/>
        <v>630.46793566083784</v>
      </c>
      <c r="C169" s="11">
        <f t="shared" si="145"/>
        <v>576.92178100426145</v>
      </c>
      <c r="D169" s="11">
        <f t="shared" si="145"/>
        <v>545.11129837873182</v>
      </c>
      <c r="E169" s="11">
        <f t="shared" si="145"/>
        <v>545.31726105873133</v>
      </c>
      <c r="F169" s="11">
        <f t="shared" si="145"/>
        <v>548.89697532090725</v>
      </c>
      <c r="H169" s="39">
        <f t="shared" si="146"/>
        <v>-2.8675292689798626</v>
      </c>
      <c r="I169" s="39">
        <f t="shared" si="147"/>
        <v>4.6149139312401388E-2</v>
      </c>
      <c r="L169" s="10" t="str">
        <f t="shared" ref="L169:Q169" si="182">L24</f>
        <v>54 Textiles, printing and other skilled trades</v>
      </c>
      <c r="M169" s="11">
        <f t="shared" si="182"/>
        <v>401.76819481597698</v>
      </c>
      <c r="N169" s="11">
        <f t="shared" si="182"/>
        <v>364.10475426804828</v>
      </c>
      <c r="O169" s="11">
        <f t="shared" si="182"/>
        <v>319.01820087382151</v>
      </c>
      <c r="P169" s="11">
        <f t="shared" si="182"/>
        <v>318.01192360112572</v>
      </c>
      <c r="Q169" s="11">
        <f t="shared" si="182"/>
        <v>317.25887537678119</v>
      </c>
      <c r="S169" s="39">
        <f t="shared" si="149"/>
        <v>-4.5077818403734931</v>
      </c>
      <c r="T169" s="39">
        <f t="shared" si="150"/>
        <v>-3.6860371654368063E-2</v>
      </c>
      <c r="W169" s="10" t="str">
        <f t="shared" ref="W169:AB169" si="183">W24</f>
        <v>54 Textiles, printing and other skilled trades</v>
      </c>
      <c r="X169" s="11">
        <f t="shared" si="183"/>
        <v>228.69974084486122</v>
      </c>
      <c r="Y169" s="11">
        <f t="shared" si="183"/>
        <v>212.81702673621379</v>
      </c>
      <c r="Z169" s="11">
        <f t="shared" si="183"/>
        <v>226.09309750491133</v>
      </c>
      <c r="AA169" s="11">
        <f t="shared" si="183"/>
        <v>227.3053374576059</v>
      </c>
      <c r="AB169" s="11">
        <f t="shared" si="183"/>
        <v>231.63809994412549</v>
      </c>
      <c r="AD169" s="39">
        <f t="shared" si="152"/>
        <v>-0.22899974558205916</v>
      </c>
      <c r="AE169" s="39">
        <f t="shared" si="153"/>
        <v>0.16165979136650854</v>
      </c>
    </row>
    <row r="170" spans="1:31" x14ac:dyDescent="0.3">
      <c r="A170" s="10" t="str">
        <f t="shared" si="141"/>
        <v>61 Caring personal service occupations</v>
      </c>
      <c r="B170" s="11">
        <f t="shared" si="141"/>
        <v>2030.2468142039761</v>
      </c>
      <c r="C170" s="11">
        <f t="shared" si="145"/>
        <v>2089.805287791341</v>
      </c>
      <c r="D170" s="11">
        <f t="shared" si="145"/>
        <v>2025.984443266439</v>
      </c>
      <c r="E170" s="11">
        <f t="shared" si="145"/>
        <v>2205.3352260260999</v>
      </c>
      <c r="F170" s="11">
        <f t="shared" si="145"/>
        <v>2414.2517515389786</v>
      </c>
      <c r="H170" s="39">
        <f t="shared" si="146"/>
        <v>-4.2024002709906139E-2</v>
      </c>
      <c r="I170" s="39">
        <f t="shared" si="147"/>
        <v>1.175749416158367</v>
      </c>
      <c r="L170" s="10" t="str">
        <f t="shared" ref="L170:Q170" si="184">L25</f>
        <v>61 Caring personal service occupations</v>
      </c>
      <c r="M170" s="11">
        <f t="shared" si="184"/>
        <v>311.25983263375065</v>
      </c>
      <c r="N170" s="11">
        <f t="shared" si="184"/>
        <v>322.48355148768314</v>
      </c>
      <c r="O170" s="11">
        <f t="shared" si="184"/>
        <v>312.97511016662554</v>
      </c>
      <c r="P170" s="11">
        <f t="shared" si="184"/>
        <v>385.67827822238667</v>
      </c>
      <c r="Q170" s="11">
        <f t="shared" si="184"/>
        <v>450.22291537054377</v>
      </c>
      <c r="S170" s="39">
        <f t="shared" si="149"/>
        <v>0.10997300746884431</v>
      </c>
      <c r="T170" s="39">
        <f t="shared" si="150"/>
        <v>2.4537485775073753</v>
      </c>
      <c r="W170" s="10" t="str">
        <f t="shared" ref="W170:AB170" si="185">W25</f>
        <v>61 Caring personal service occupations</v>
      </c>
      <c r="X170" s="11">
        <f t="shared" si="185"/>
        <v>1718.9869815702225</v>
      </c>
      <c r="Y170" s="11">
        <f t="shared" si="185"/>
        <v>1767.3217363036547</v>
      </c>
      <c r="Z170" s="11">
        <f t="shared" si="185"/>
        <v>1713.009333099815</v>
      </c>
      <c r="AA170" s="11">
        <f t="shared" si="185"/>
        <v>1819.6569478037168</v>
      </c>
      <c r="AB170" s="11">
        <f t="shared" si="185"/>
        <v>1964.0288361684375</v>
      </c>
      <c r="AD170" s="39">
        <f t="shared" si="152"/>
        <v>-6.9645444150079339E-2</v>
      </c>
      <c r="AE170" s="39">
        <f t="shared" si="153"/>
        <v>0.9158096039923791</v>
      </c>
    </row>
    <row r="171" spans="1:31" x14ac:dyDescent="0.3">
      <c r="A171" s="10" t="str">
        <f t="shared" si="141"/>
        <v>62 Leisure, travel and related personal service occupations</v>
      </c>
      <c r="B171" s="11">
        <f t="shared" si="141"/>
        <v>627.38990653790802</v>
      </c>
      <c r="C171" s="11">
        <f t="shared" si="145"/>
        <v>680.2954268390763</v>
      </c>
      <c r="D171" s="11">
        <f t="shared" si="145"/>
        <v>625.46697377789098</v>
      </c>
      <c r="E171" s="11">
        <f t="shared" si="145"/>
        <v>638.83622897159728</v>
      </c>
      <c r="F171" s="11">
        <f t="shared" si="145"/>
        <v>662.04991372339862</v>
      </c>
      <c r="H171" s="39">
        <f t="shared" si="146"/>
        <v>-6.1374739345343432E-2</v>
      </c>
      <c r="I171" s="39">
        <f t="shared" si="147"/>
        <v>0.37966840586167727</v>
      </c>
      <c r="L171" s="10" t="str">
        <f t="shared" ref="L171:Q171" si="186">L26</f>
        <v>62 Leisure, travel and related personal service occupations</v>
      </c>
      <c r="M171" s="11">
        <f t="shared" si="186"/>
        <v>184.68109088265959</v>
      </c>
      <c r="N171" s="11">
        <f t="shared" si="186"/>
        <v>207.7612005136078</v>
      </c>
      <c r="O171" s="11">
        <f t="shared" si="186"/>
        <v>197.13555286994591</v>
      </c>
      <c r="P171" s="11">
        <f t="shared" si="186"/>
        <v>204.17130420078985</v>
      </c>
      <c r="Q171" s="11">
        <f t="shared" si="186"/>
        <v>223.67395237106967</v>
      </c>
      <c r="S171" s="39">
        <f t="shared" si="149"/>
        <v>1.3137766612254964</v>
      </c>
      <c r="T171" s="39">
        <f t="shared" si="150"/>
        <v>0.84554029498695726</v>
      </c>
      <c r="W171" s="10" t="str">
        <f t="shared" ref="W171:AB171" si="187">W26</f>
        <v>62 Leisure, travel and related personal service occupations</v>
      </c>
      <c r="X171" s="11">
        <f t="shared" si="187"/>
        <v>442.70881565524837</v>
      </c>
      <c r="Y171" s="11">
        <f t="shared" si="187"/>
        <v>472.5342263254683</v>
      </c>
      <c r="Z171" s="11">
        <f t="shared" si="187"/>
        <v>428.3314209079445</v>
      </c>
      <c r="AA171" s="11">
        <f t="shared" si="187"/>
        <v>434.66492477080754</v>
      </c>
      <c r="AB171" s="11">
        <f t="shared" si="187"/>
        <v>438.37596135232826</v>
      </c>
      <c r="AD171" s="39">
        <f t="shared" si="152"/>
        <v>-0.65812499016745241</v>
      </c>
      <c r="AE171" s="39">
        <f t="shared" si="153"/>
        <v>0.15465051144698538</v>
      </c>
    </row>
    <row r="172" spans="1:31" x14ac:dyDescent="0.3">
      <c r="A172" s="10" t="str">
        <f t="shared" si="141"/>
        <v>63 Community and civil enforcement occupations</v>
      </c>
      <c r="B172" s="11">
        <f t="shared" si="141"/>
        <v>28.840224624383744</v>
      </c>
      <c r="C172" s="11">
        <f t="shared" si="145"/>
        <v>24.87542038018313</v>
      </c>
      <c r="D172" s="11">
        <f t="shared" si="145"/>
        <v>31.742463409059319</v>
      </c>
      <c r="E172" s="11">
        <f t="shared" si="145"/>
        <v>25.76945966743477</v>
      </c>
      <c r="F172" s="11">
        <f t="shared" si="145"/>
        <v>27.819487466245615</v>
      </c>
      <c r="H172" s="39">
        <f t="shared" si="146"/>
        <v>1.9361901365344769</v>
      </c>
      <c r="I172" s="39">
        <f t="shared" si="147"/>
        <v>-0.87560116228070362</v>
      </c>
      <c r="L172" s="10" t="str">
        <f t="shared" ref="L172:Q172" si="188">L27</f>
        <v>63 Community and civil enforcement occupations</v>
      </c>
      <c r="M172" s="11">
        <f t="shared" si="188"/>
        <v>22.290786952543883</v>
      </c>
      <c r="N172" s="11">
        <f t="shared" si="188"/>
        <v>16.842116200071658</v>
      </c>
      <c r="O172" s="11">
        <f t="shared" si="188"/>
        <v>24.710118111484132</v>
      </c>
      <c r="P172" s="11">
        <f t="shared" si="188"/>
        <v>16.432137131826554</v>
      </c>
      <c r="Q172" s="11">
        <f t="shared" si="188"/>
        <v>18.627168891848136</v>
      </c>
      <c r="S172" s="39">
        <f t="shared" si="149"/>
        <v>2.0821677917579606</v>
      </c>
      <c r="T172" s="39">
        <f t="shared" si="150"/>
        <v>-1.866308641714165</v>
      </c>
      <c r="W172" s="10" t="str">
        <f t="shared" ref="W172:AB172" si="189">W27</f>
        <v>63 Community and civil enforcement occupations</v>
      </c>
      <c r="X172" s="11">
        <f t="shared" si="189"/>
        <v>6.549437671839911</v>
      </c>
      <c r="Y172" s="11">
        <f t="shared" si="189"/>
        <v>8.033304180111541</v>
      </c>
      <c r="Z172" s="11">
        <f t="shared" si="189"/>
        <v>7.0323452975752208</v>
      </c>
      <c r="AA172" s="11">
        <f t="shared" si="189"/>
        <v>9.3373225356081608</v>
      </c>
      <c r="AB172" s="11">
        <f t="shared" si="189"/>
        <v>9.1923185743974862</v>
      </c>
      <c r="AD172" s="39">
        <f t="shared" si="152"/>
        <v>1.4329916528902809</v>
      </c>
      <c r="AE172" s="39">
        <f t="shared" si="153"/>
        <v>1.8016909994700292</v>
      </c>
    </row>
    <row r="173" spans="1:31" x14ac:dyDescent="0.3">
      <c r="A173" s="10" t="str">
        <f t="shared" si="141"/>
        <v>71 Sales occupations</v>
      </c>
      <c r="B173" s="11">
        <f t="shared" si="141"/>
        <v>1992.1189392123579</v>
      </c>
      <c r="C173" s="11">
        <f t="shared" si="145"/>
        <v>1892.2329930164867</v>
      </c>
      <c r="D173" s="11">
        <f t="shared" si="145"/>
        <v>1852.3067229280093</v>
      </c>
      <c r="E173" s="11">
        <f t="shared" si="145"/>
        <v>1722.4810841858018</v>
      </c>
      <c r="F173" s="11">
        <f t="shared" si="145"/>
        <v>1638.8493200669641</v>
      </c>
      <c r="H173" s="39">
        <f t="shared" si="146"/>
        <v>-1.4448036019851229</v>
      </c>
      <c r="I173" s="39">
        <f t="shared" si="147"/>
        <v>-0.81292691960828112</v>
      </c>
      <c r="L173" s="10" t="str">
        <f t="shared" ref="L173:Q173" si="190">L28</f>
        <v>71 Sales occupations</v>
      </c>
      <c r="M173" s="11">
        <f t="shared" si="190"/>
        <v>793.63754454260584</v>
      </c>
      <c r="N173" s="11">
        <f t="shared" si="190"/>
        <v>788.63363985370279</v>
      </c>
      <c r="O173" s="11">
        <f t="shared" si="190"/>
        <v>771.65082315172208</v>
      </c>
      <c r="P173" s="11">
        <f t="shared" si="190"/>
        <v>728.29434390189363</v>
      </c>
      <c r="Q173" s="11">
        <f t="shared" si="190"/>
        <v>714.91978445695713</v>
      </c>
      <c r="S173" s="39">
        <f t="shared" si="149"/>
        <v>-0.56031868452898204</v>
      </c>
      <c r="T173" s="39">
        <f t="shared" si="150"/>
        <v>-0.5077850524015437</v>
      </c>
      <c r="W173" s="10" t="str">
        <f t="shared" ref="W173:AB173" si="191">W28</f>
        <v>71 Sales occupations</v>
      </c>
      <c r="X173" s="11">
        <f t="shared" si="191"/>
        <v>1198.4813946697545</v>
      </c>
      <c r="Y173" s="11">
        <f t="shared" si="191"/>
        <v>1103.5993531627848</v>
      </c>
      <c r="Z173" s="11">
        <f t="shared" si="191"/>
        <v>1080.6558997762857</v>
      </c>
      <c r="AA173" s="11">
        <f t="shared" si="191"/>
        <v>994.18674028391251</v>
      </c>
      <c r="AB173" s="11">
        <f t="shared" si="191"/>
        <v>923.92953561000832</v>
      </c>
      <c r="AD173" s="39">
        <f t="shared" si="152"/>
        <v>-2.0484694514030011</v>
      </c>
      <c r="AE173" s="39">
        <f t="shared" si="153"/>
        <v>-1.0391474444202853</v>
      </c>
    </row>
    <row r="174" spans="1:31" x14ac:dyDescent="0.3">
      <c r="A174" s="10" t="str">
        <f t="shared" si="141"/>
        <v>72 Customer service occupations</v>
      </c>
      <c r="B174" s="11">
        <f t="shared" si="141"/>
        <v>459.59571905867102</v>
      </c>
      <c r="C174" s="11">
        <f t="shared" si="145"/>
        <v>498.82909103944002</v>
      </c>
      <c r="D174" s="11">
        <f t="shared" si="145"/>
        <v>510.02655870683429</v>
      </c>
      <c r="E174" s="11">
        <f t="shared" si="145"/>
        <v>656.65877897986149</v>
      </c>
      <c r="F174" s="11">
        <f t="shared" si="145"/>
        <v>749.94596673149408</v>
      </c>
      <c r="H174" s="39">
        <f t="shared" si="146"/>
        <v>2.1041427488282416</v>
      </c>
      <c r="I174" s="39">
        <f t="shared" si="147"/>
        <v>2.6035716235012663</v>
      </c>
      <c r="L174" s="10" t="str">
        <f t="shared" ref="L174:Q174" si="192">L29</f>
        <v>72 Customer service occupations</v>
      </c>
      <c r="M174" s="11">
        <f t="shared" si="192"/>
        <v>181.54292303428872</v>
      </c>
      <c r="N174" s="11">
        <f t="shared" si="192"/>
        <v>170.95875554882193</v>
      </c>
      <c r="O174" s="11">
        <f t="shared" si="192"/>
        <v>198.01870062968607</v>
      </c>
      <c r="P174" s="11">
        <f t="shared" si="192"/>
        <v>273.91974963764926</v>
      </c>
      <c r="Q174" s="11">
        <f t="shared" si="192"/>
        <v>322.73100541151939</v>
      </c>
      <c r="S174" s="39">
        <f t="shared" si="149"/>
        <v>1.7525675083315262</v>
      </c>
      <c r="T174" s="39">
        <f t="shared" si="150"/>
        <v>3.3099851144751113</v>
      </c>
      <c r="W174" s="10" t="str">
        <f t="shared" ref="W174:AB174" si="193">W29</f>
        <v>72 Customer service occupations</v>
      </c>
      <c r="X174" s="11">
        <f t="shared" si="193"/>
        <v>278.05279602438247</v>
      </c>
      <c r="Y174" s="11">
        <f t="shared" si="193"/>
        <v>327.87033549061778</v>
      </c>
      <c r="Z174" s="11">
        <f t="shared" si="193"/>
        <v>312.0078580771488</v>
      </c>
      <c r="AA174" s="11">
        <f t="shared" si="193"/>
        <v>382.73902934221337</v>
      </c>
      <c r="AB174" s="11">
        <f t="shared" si="193"/>
        <v>427.21496131997407</v>
      </c>
      <c r="AD174" s="39">
        <f t="shared" si="152"/>
        <v>2.3311024820999782</v>
      </c>
      <c r="AE174" s="39">
        <f t="shared" si="153"/>
        <v>2.1171600103596422</v>
      </c>
    </row>
    <row r="175" spans="1:31" x14ac:dyDescent="0.3">
      <c r="A175" s="10" t="str">
        <f t="shared" si="141"/>
        <v>81 Process, plant and machine operatives</v>
      </c>
      <c r="B175" s="11">
        <f t="shared" si="141"/>
        <v>713.31333030825101</v>
      </c>
      <c r="C175" s="11">
        <f t="shared" si="145"/>
        <v>691.72064265695496</v>
      </c>
      <c r="D175" s="11">
        <f t="shared" si="145"/>
        <v>607.28189366049708</v>
      </c>
      <c r="E175" s="11">
        <f t="shared" si="145"/>
        <v>731.01802160684156</v>
      </c>
      <c r="F175" s="11">
        <f t="shared" si="145"/>
        <v>716.39137017341181</v>
      </c>
      <c r="H175" s="39">
        <f t="shared" si="146"/>
        <v>-3.1673095902230775</v>
      </c>
      <c r="I175" s="39">
        <f t="shared" si="147"/>
        <v>1.107646384199712</v>
      </c>
      <c r="L175" s="10" t="str">
        <f t="shared" ref="L175:Q175" si="194">L30</f>
        <v>81 Process, plant and machine operatives</v>
      </c>
      <c r="M175" s="11">
        <f t="shared" si="194"/>
        <v>556.98642676520933</v>
      </c>
      <c r="N175" s="11">
        <f t="shared" si="194"/>
        <v>528.98645036415655</v>
      </c>
      <c r="O175" s="11">
        <f t="shared" si="194"/>
        <v>467.28705132247853</v>
      </c>
      <c r="P175" s="11">
        <f t="shared" si="194"/>
        <v>555.39360523023709</v>
      </c>
      <c r="Q175" s="11">
        <f t="shared" si="194"/>
        <v>538.38676386550969</v>
      </c>
      <c r="S175" s="39">
        <f t="shared" si="149"/>
        <v>-3.4509895520170031</v>
      </c>
      <c r="T175" s="39">
        <f t="shared" si="150"/>
        <v>0.94869487637894157</v>
      </c>
      <c r="W175" s="10" t="str">
        <f t="shared" ref="W175:AB175" si="195">W30</f>
        <v>81 Process, plant and machine operatives</v>
      </c>
      <c r="X175" s="11">
        <f t="shared" si="195"/>
        <v>156.32690354304097</v>
      </c>
      <c r="Y175" s="11">
        <f t="shared" si="195"/>
        <v>162.7341922927977</v>
      </c>
      <c r="Z175" s="11">
        <f t="shared" si="195"/>
        <v>139.99484233801778</v>
      </c>
      <c r="AA175" s="11">
        <f t="shared" si="195"/>
        <v>175.62441637660456</v>
      </c>
      <c r="AB175" s="11">
        <f t="shared" si="195"/>
        <v>178.00460630790263</v>
      </c>
      <c r="AD175" s="39">
        <f t="shared" si="152"/>
        <v>-2.1827020315789425</v>
      </c>
      <c r="AE175" s="39">
        <f t="shared" si="153"/>
        <v>1.6142494458680767</v>
      </c>
    </row>
    <row r="176" spans="1:31" x14ac:dyDescent="0.3">
      <c r="A176" s="10" t="str">
        <f t="shared" si="141"/>
        <v>82 Transport and mobile machine drivers and operatives</v>
      </c>
      <c r="B176" s="11">
        <f t="shared" si="141"/>
        <v>1054.0123740558722</v>
      </c>
      <c r="C176" s="11">
        <f t="shared" si="145"/>
        <v>1178.8274412312694</v>
      </c>
      <c r="D176" s="11">
        <f t="shared" si="145"/>
        <v>1054.8556506340044</v>
      </c>
      <c r="E176" s="11">
        <f t="shared" si="145"/>
        <v>1136.9139474279507</v>
      </c>
      <c r="F176" s="11">
        <f t="shared" si="145"/>
        <v>1135.6959002790093</v>
      </c>
      <c r="H176" s="39">
        <f t="shared" si="146"/>
        <v>1.5996146886210205E-2</v>
      </c>
      <c r="I176" s="39">
        <f t="shared" si="147"/>
        <v>0.49349139431071887</v>
      </c>
      <c r="L176" s="10" t="str">
        <f t="shared" ref="L176:Q176" si="196">L31</f>
        <v>82 Transport and mobile machine drivers and operatives</v>
      </c>
      <c r="M176" s="11">
        <f t="shared" si="196"/>
        <v>988.67241243807359</v>
      </c>
      <c r="N176" s="11">
        <f t="shared" si="196"/>
        <v>1112.3915530177214</v>
      </c>
      <c r="O176" s="11">
        <f t="shared" si="196"/>
        <v>992.19217650976475</v>
      </c>
      <c r="P176" s="11">
        <f t="shared" si="196"/>
        <v>1044.513156368</v>
      </c>
      <c r="Q176" s="11">
        <f t="shared" si="196"/>
        <v>1029.9222053166914</v>
      </c>
      <c r="S176" s="39">
        <f t="shared" si="149"/>
        <v>7.1100648399768929E-2</v>
      </c>
      <c r="T176" s="39">
        <f t="shared" si="150"/>
        <v>0.24912135758599074</v>
      </c>
      <c r="W176" s="10" t="str">
        <f t="shared" ref="W176:AB176" si="197">W31</f>
        <v>82 Transport and mobile machine drivers and operatives</v>
      </c>
      <c r="X176" s="11">
        <f t="shared" si="197"/>
        <v>65.339961617798281</v>
      </c>
      <c r="Y176" s="11">
        <f t="shared" si="197"/>
        <v>66.435888213547102</v>
      </c>
      <c r="Z176" s="11">
        <f t="shared" si="197"/>
        <v>62.663474124240551</v>
      </c>
      <c r="AA176" s="11">
        <f t="shared" si="197"/>
        <v>92.400791059951658</v>
      </c>
      <c r="AB176" s="11">
        <f t="shared" si="197"/>
        <v>105.77369496232032</v>
      </c>
      <c r="AD176" s="39">
        <f t="shared" si="152"/>
        <v>-0.83301287294108572</v>
      </c>
      <c r="AE176" s="39">
        <f t="shared" si="153"/>
        <v>3.5517748817075701</v>
      </c>
    </row>
    <row r="177" spans="1:31" x14ac:dyDescent="0.3">
      <c r="A177" s="10" t="str">
        <f t="shared" si="141"/>
        <v>91 Elementary trades and related occupations</v>
      </c>
      <c r="B177" s="11">
        <f t="shared" si="141"/>
        <v>475.90883310534315</v>
      </c>
      <c r="C177" s="11">
        <f t="shared" si="145"/>
        <v>428.55047108245543</v>
      </c>
      <c r="D177" s="11">
        <f t="shared" si="145"/>
        <v>381.35221201872946</v>
      </c>
      <c r="E177" s="11">
        <f t="shared" si="145"/>
        <v>321.40447089613929</v>
      </c>
      <c r="F177" s="11">
        <f t="shared" si="145"/>
        <v>305.22320056621066</v>
      </c>
      <c r="H177" s="39">
        <f>IF(D$151-B$151 &lt;&gt; 0,(EXP(LN(D177/B177)/(D$151-B$151))-1)*100,0)</f>
        <v>-4.3333644293368057</v>
      </c>
      <c r="I177" s="39">
        <f t="shared" si="147"/>
        <v>-1.4735689558833975</v>
      </c>
      <c r="L177" s="10" t="str">
        <f t="shared" ref="L177:Q178" si="198">L32</f>
        <v>91 Elementary trades and related occupations</v>
      </c>
      <c r="M177" s="11">
        <f t="shared" si="198"/>
        <v>364.33938357079484</v>
      </c>
      <c r="N177" s="11">
        <f t="shared" si="198"/>
        <v>329.59423436194044</v>
      </c>
      <c r="O177" s="11">
        <f t="shared" si="198"/>
        <v>301.1258194791863</v>
      </c>
      <c r="P177" s="11">
        <f t="shared" si="198"/>
        <v>251.05990615636082</v>
      </c>
      <c r="Q177" s="11">
        <f t="shared" si="198"/>
        <v>237.55461649335294</v>
      </c>
      <c r="S177" s="39">
        <f t="shared" si="149"/>
        <v>-3.739441936918364</v>
      </c>
      <c r="T177" s="39">
        <f t="shared" si="150"/>
        <v>-1.5684406326793021</v>
      </c>
      <c r="W177" s="10" t="str">
        <f t="shared" ref="W177:AB178" si="199">W32</f>
        <v>91 Elementary trades and related occupations</v>
      </c>
      <c r="X177" s="11">
        <f t="shared" si="199"/>
        <v>111.56944953454895</v>
      </c>
      <c r="Y177" s="11">
        <f t="shared" si="199"/>
        <v>98.956236720515349</v>
      </c>
      <c r="Z177" s="11">
        <f t="shared" si="199"/>
        <v>80.226392539542701</v>
      </c>
      <c r="AA177" s="11">
        <f t="shared" si="199"/>
        <v>70.344564739778647</v>
      </c>
      <c r="AB177" s="11">
        <f t="shared" si="199"/>
        <v>67.668584072857882</v>
      </c>
      <c r="AD177" s="39">
        <f t="shared" si="152"/>
        <v>-6.3830700758062413</v>
      </c>
      <c r="AE177" s="39">
        <f t="shared" si="153"/>
        <v>-1.1284547655709853</v>
      </c>
    </row>
    <row r="178" spans="1:31" x14ac:dyDescent="0.3">
      <c r="A178" s="10" t="str">
        <f t="shared" si="141"/>
        <v>92 Elementary administration and service occupations</v>
      </c>
      <c r="B178" s="11">
        <f t="shared" si="141"/>
        <v>2826.2835298888986</v>
      </c>
      <c r="C178" s="11">
        <f t="shared" si="145"/>
        <v>2861.6919255116004</v>
      </c>
      <c r="D178" s="11">
        <f t="shared" si="145"/>
        <v>2620.1587668920147</v>
      </c>
      <c r="E178" s="11">
        <f t="shared" si="145"/>
        <v>2688.4065741618947</v>
      </c>
      <c r="F178" s="11">
        <f t="shared" si="145"/>
        <v>2601.8770524398415</v>
      </c>
      <c r="H178" s="39">
        <f>IF(D$151-B$151 &lt;&gt; 0,(EXP(LN(D178/B178)/(D$151-B$151))-1)*100,0)</f>
        <v>-1.5031422031040464</v>
      </c>
      <c r="I178" s="39">
        <f t="shared" ref="I178" si="200">IF(F$151-D$151 &lt;&gt; 0,(EXP(LN(F178/D178)/(F$151-D$151))-1)*100,0)</f>
        <v>-4.6667681845247166E-2</v>
      </c>
      <c r="L178" s="10" t="str">
        <f t="shared" si="198"/>
        <v>92 Elementary administration and service occupations</v>
      </c>
      <c r="M178" s="11">
        <f t="shared" si="198"/>
        <v>1401.0103376941017</v>
      </c>
      <c r="N178" s="11">
        <f t="shared" si="198"/>
        <v>1370.1224487542522</v>
      </c>
      <c r="O178" s="11">
        <f t="shared" si="198"/>
        <v>1295.0761240716754</v>
      </c>
      <c r="P178" s="11">
        <f t="shared" si="198"/>
        <v>1383.7810590723213</v>
      </c>
      <c r="Q178" s="11">
        <f t="shared" si="198"/>
        <v>1330.0956427135461</v>
      </c>
      <c r="S178" s="39">
        <f t="shared" ref="S178" si="201">IF(O$151-M$151 &lt;&gt; 0,(EXP(LN(O178/M178)/(O$151-M$151))-1)*100,0)</f>
        <v>-1.5601844233740891</v>
      </c>
      <c r="T178" s="39">
        <f t="shared" ref="T178" si="202">IF(Q$151-O$151 &lt;&gt; 0,(EXP(LN(Q178/O178)/(Q$151-O$151))-1)*100,0)</f>
        <v>0.17803412604813218</v>
      </c>
      <c r="W178" s="10" t="str">
        <f t="shared" si="199"/>
        <v>92 Elementary administration and service occupations</v>
      </c>
      <c r="X178" s="11">
        <f t="shared" si="199"/>
        <v>1425.2731921947943</v>
      </c>
      <c r="Y178" s="11">
        <f t="shared" si="199"/>
        <v>1491.5694767573452</v>
      </c>
      <c r="Z178" s="11">
        <f t="shared" si="199"/>
        <v>1325.0826428203436</v>
      </c>
      <c r="AA178" s="11">
        <f t="shared" si="199"/>
        <v>1304.6255150895827</v>
      </c>
      <c r="AB178" s="11">
        <f t="shared" si="199"/>
        <v>1271.7814097262924</v>
      </c>
      <c r="AD178" s="39">
        <f t="shared" ref="AD178" si="203">IF(Z$151-X$151 &lt;&gt; 0,(EXP(LN(Z178/X178)/(Z$151-X$151))-1)*100,0)</f>
        <v>-1.4471995197910537</v>
      </c>
      <c r="AE178" s="39">
        <f t="shared" ref="AE178" si="204">IF(AB$151-Z$151 &lt;&gt; 0,(EXP(LN(AB178/Z178)/(AB$151-Z$151))-1)*100,0)</f>
        <v>-0.27333394056074933</v>
      </c>
    </row>
    <row r="179" spans="1:31" x14ac:dyDescent="0.3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3">
      <c r="A180" s="231" t="str">
        <f t="shared" ref="A180:F180" si="205">A35</f>
        <v>All occupations</v>
      </c>
      <c r="B180" s="33">
        <f>B35</f>
        <v>28656.171999997772</v>
      </c>
      <c r="C180" s="33">
        <f t="shared" si="205"/>
        <v>30212.759999993865</v>
      </c>
      <c r="D180" s="33">
        <f t="shared" si="205"/>
        <v>29859.680999995038</v>
      </c>
      <c r="E180" s="33">
        <f t="shared" si="205"/>
        <v>30754.74800001003</v>
      </c>
      <c r="F180" s="33">
        <f t="shared" si="205"/>
        <v>32070.090999998905</v>
      </c>
      <c r="H180" s="42">
        <f t="shared" si="146"/>
        <v>0.82619957207423766</v>
      </c>
      <c r="I180" s="42">
        <f t="shared" si="147"/>
        <v>0.477233431154378</v>
      </c>
      <c r="L180" s="231" t="str">
        <f t="shared" ref="L180:Q180" si="206">L35</f>
        <v>All occupations</v>
      </c>
      <c r="M180" s="33">
        <f t="shared" si="206"/>
        <v>15097.294000001106</v>
      </c>
      <c r="N180" s="33">
        <f t="shared" si="206"/>
        <v>15791.443999999359</v>
      </c>
      <c r="O180" s="33">
        <f t="shared" si="206"/>
        <v>15479.516000000145</v>
      </c>
      <c r="P180" s="33">
        <f t="shared" si="206"/>
        <v>15910.188000001615</v>
      </c>
      <c r="Q180" s="33">
        <f t="shared" si="206"/>
        <v>16483.507000000143</v>
      </c>
      <c r="S180" s="42">
        <f t="shared" ref="S180" si="207">IF(O$151-M$151 &lt;&gt; 0,(EXP(LN(O180/M180)/(O$151-M$151))-1)*100,0)</f>
        <v>0.50129387555879479</v>
      </c>
      <c r="T180" s="42">
        <f t="shared" ref="T180" si="208">IF(Q$151-O$151 &lt;&gt; 0,(EXP(LN(Q180/O180)/(Q$151-O$151))-1)*100,0)</f>
        <v>0.41983018617468559</v>
      </c>
      <c r="W180" s="231" t="str">
        <f t="shared" ref="W180:AB180" si="209">W35</f>
        <v>All occupations</v>
      </c>
      <c r="X180" s="33">
        <f t="shared" si="209"/>
        <v>13558.877999996661</v>
      </c>
      <c r="Y180" s="33">
        <f t="shared" si="209"/>
        <v>14421.315999994516</v>
      </c>
      <c r="Z180" s="33">
        <f t="shared" si="209"/>
        <v>14380.16499999489</v>
      </c>
      <c r="AA180" s="33">
        <f t="shared" si="209"/>
        <v>14844.56000000844</v>
      </c>
      <c r="AB180" s="33">
        <f t="shared" si="209"/>
        <v>15586.583999998773</v>
      </c>
      <c r="AD180" s="42">
        <f t="shared" ref="AD180" si="210">IF(Z$151-X$151 &lt;&gt; 0,(EXP(LN(Z180/X180)/(Z$151-X$151))-1)*100,0)</f>
        <v>1.1831098432651288</v>
      </c>
      <c r="AE180" s="42">
        <f t="shared" ref="AE180" si="211">IF(AB$151-Z$151 &lt;&gt; 0,(EXP(LN(AB180/Z180)/(AB$151-Z$151))-1)*100,0)</f>
        <v>0.5385162657690179</v>
      </c>
    </row>
    <row r="181" spans="1:31" x14ac:dyDescent="0.3">
      <c r="A181" s="10"/>
    </row>
    <row r="182" spans="1:31" x14ac:dyDescent="0.3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45" x14ac:dyDescent="0.3"/>
  <cols>
    <col min="1" max="1" width="54.69140625" customWidth="1"/>
    <col min="2" max="6" width="11.69140625" customWidth="1"/>
    <col min="7" max="7" width="5.69140625" customWidth="1"/>
    <col min="8" max="12" width="11.69140625" customWidth="1"/>
  </cols>
  <sheetData>
    <row r="1" spans="1:12" ht="15.45" x14ac:dyDescent="0.4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England</v>
      </c>
    </row>
    <row r="2" spans="1:12" ht="12.75" customHeight="1" x14ac:dyDescent="0.3">
      <c r="A2" s="181" t="s">
        <v>536</v>
      </c>
    </row>
    <row r="3" spans="1:12" ht="12.75" customHeight="1" x14ac:dyDescent="0.4">
      <c r="A3" s="18"/>
      <c r="L3" s="37" t="s">
        <v>19</v>
      </c>
    </row>
    <row r="4" spans="1:12" x14ac:dyDescent="0.3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3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ht="12.9" x14ac:dyDescent="0.35">
      <c r="A7" s="29" t="str">
        <f>'Occ T1'!A8</f>
        <v>Managers, directors and senior officials</v>
      </c>
      <c r="B7" s="30">
        <f>'Occ T1'!B8</f>
        <v>2822.9549666207236</v>
      </c>
      <c r="C7" s="30">
        <f>'Occ T1'!C8</f>
        <v>3241.7877031892972</v>
      </c>
      <c r="D7" s="30">
        <f>'Occ T1'!D8</f>
        <v>3297.9630650025738</v>
      </c>
      <c r="E7" s="30">
        <f>'Occ T1'!E8</f>
        <v>3401.668012903142</v>
      </c>
      <c r="F7" s="30">
        <f>'Occ T1'!F8</f>
        <v>3797.1617057796548</v>
      </c>
      <c r="H7" s="30">
        <f>C7-B7</f>
        <v>418.83273656857364</v>
      </c>
      <c r="I7" s="30">
        <f>D7-C7</f>
        <v>56.175361813276595</v>
      </c>
      <c r="J7" s="30">
        <f>E7-D7</f>
        <v>103.70494790056819</v>
      </c>
      <c r="K7" s="30">
        <f>F7-E7</f>
        <v>395.4936928765128</v>
      </c>
      <c r="L7" s="30">
        <f>F7-D7</f>
        <v>499.19864077708098</v>
      </c>
    </row>
    <row r="8" spans="1:12" s="29" customFormat="1" ht="12.9" x14ac:dyDescent="0.35">
      <c r="A8" s="10" t="str">
        <f>'Occ T2'!A8</f>
        <v>11 Corporate managers and directors</v>
      </c>
      <c r="B8" s="31">
        <f>'Occ T2'!B8</f>
        <v>1899.433639026867</v>
      </c>
      <c r="C8" s="31">
        <f>'Occ T2'!C8</f>
        <v>2252.4434759690844</v>
      </c>
      <c r="D8" s="31">
        <f>'Occ T2'!D8</f>
        <v>2300.8631856488205</v>
      </c>
      <c r="E8" s="31">
        <f>'Occ T2'!E8</f>
        <v>2163.7370255462979</v>
      </c>
      <c r="F8" s="31">
        <f>'Occ T2'!F8</f>
        <v>2367.6940169092045</v>
      </c>
      <c r="H8" s="30">
        <f t="shared" ref="H8:H9" si="0">C8-B8</f>
        <v>353.00983694221736</v>
      </c>
      <c r="I8" s="30">
        <f t="shared" ref="I8:I9" si="1">D8-C8</f>
        <v>48.419709679736116</v>
      </c>
      <c r="J8" s="30">
        <f t="shared" ref="J8:J9" si="2">E8-D8</f>
        <v>-137.12616010252259</v>
      </c>
      <c r="K8" s="30">
        <f t="shared" ref="K8:K9" si="3">F8-E8</f>
        <v>203.95699136290659</v>
      </c>
      <c r="L8" s="30">
        <f t="shared" ref="L8:L49" si="4">F8-D8</f>
        <v>66.830831260384002</v>
      </c>
    </row>
    <row r="9" spans="1:12" s="29" customFormat="1" ht="12.9" x14ac:dyDescent="0.35">
      <c r="A9" s="10" t="str">
        <f>'Occ T2'!A9</f>
        <v>12 Other managers and proprietors</v>
      </c>
      <c r="B9" s="31">
        <f>'Occ T2'!B9</f>
        <v>923.52132759385643</v>
      </c>
      <c r="C9" s="31">
        <f>'Occ T2'!C9</f>
        <v>989.3442272202127</v>
      </c>
      <c r="D9" s="31">
        <f>'Occ T2'!D9</f>
        <v>997.09987935375352</v>
      </c>
      <c r="E9" s="31">
        <f>'Occ T2'!E9</f>
        <v>1237.9309873568443</v>
      </c>
      <c r="F9" s="31">
        <f>'Occ T2'!F9</f>
        <v>1429.4676888704503</v>
      </c>
      <c r="H9" s="30">
        <f t="shared" si="0"/>
        <v>65.822899626356275</v>
      </c>
      <c r="I9" s="30">
        <f t="shared" si="1"/>
        <v>7.7556521335408206</v>
      </c>
      <c r="J9" s="30">
        <f t="shared" si="2"/>
        <v>240.83110800309078</v>
      </c>
      <c r="K9" s="30">
        <f t="shared" si="3"/>
        <v>191.53670151360598</v>
      </c>
      <c r="L9" s="30">
        <f t="shared" si="4"/>
        <v>432.36780951669675</v>
      </c>
    </row>
    <row r="10" spans="1:12" ht="12.9" x14ac:dyDescent="0.35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ht="12.9" x14ac:dyDescent="0.35">
      <c r="A11" s="29" t="str">
        <f>'Occ T1'!A9</f>
        <v>Professional occupations</v>
      </c>
      <c r="B11" s="30">
        <f>'Occ T1'!B9</f>
        <v>5913.2437820431551</v>
      </c>
      <c r="C11" s="30">
        <f>'Occ T1'!C9</f>
        <v>6746.1756140652815</v>
      </c>
      <c r="D11" s="30">
        <f>'Occ T1'!D9</f>
        <v>7042.9080467763579</v>
      </c>
      <c r="E11" s="30">
        <f>'Occ T1'!E9</f>
        <v>7617.8402642532928</v>
      </c>
      <c r="F11" s="30">
        <f>'Occ T1'!F9</f>
        <v>8412.6838694340058</v>
      </c>
      <c r="H11" s="30">
        <f>C11-B11</f>
        <v>832.9318320221264</v>
      </c>
      <c r="I11" s="30">
        <f t="shared" ref="I11:I49" si="5">D11-C11</f>
        <v>296.7324327110764</v>
      </c>
      <c r="J11" s="30">
        <f>E11-D11</f>
        <v>574.93221747693497</v>
      </c>
      <c r="K11" s="30">
        <f>F11-E11</f>
        <v>794.84360518071298</v>
      </c>
      <c r="L11" s="30">
        <f t="shared" si="4"/>
        <v>1369.775822657648</v>
      </c>
    </row>
    <row r="12" spans="1:12" ht="12.9" x14ac:dyDescent="0.35">
      <c r="A12" s="10" t="str">
        <f>'Occ T2'!A10</f>
        <v>21 Science, research, engineering and technology professionals</v>
      </c>
      <c r="B12" s="10">
        <f>'Occ T2'!B10</f>
        <v>1585.0798970775465</v>
      </c>
      <c r="C12" s="10">
        <f>'Occ T2'!C10</f>
        <v>1824.270392837615</v>
      </c>
      <c r="D12" s="10">
        <f>'Occ T2'!D10</f>
        <v>1898.9978151049093</v>
      </c>
      <c r="E12" s="10">
        <f>'Occ T2'!E10</f>
        <v>2020.6337313843233</v>
      </c>
      <c r="F12" s="10">
        <f>'Occ T2'!F10</f>
        <v>2241.4331785640356</v>
      </c>
      <c r="H12" s="11">
        <f t="shared" ref="H12:K14" si="6">C12-B12</f>
        <v>239.19049576006842</v>
      </c>
      <c r="I12" s="30">
        <f t="shared" si="5"/>
        <v>74.727422267294287</v>
      </c>
      <c r="J12" s="11">
        <f t="shared" si="6"/>
        <v>121.635916279414</v>
      </c>
      <c r="K12" s="11">
        <f t="shared" si="6"/>
        <v>220.79944717971239</v>
      </c>
      <c r="L12" s="30">
        <f t="shared" si="4"/>
        <v>342.43536345912639</v>
      </c>
    </row>
    <row r="13" spans="1:12" ht="12.9" x14ac:dyDescent="0.35">
      <c r="A13" s="10" t="str">
        <f>'Occ T2'!A11</f>
        <v>22 Health professionals</v>
      </c>
      <c r="B13" s="10">
        <f>'Occ T2'!B11</f>
        <v>1169.4428202608062</v>
      </c>
      <c r="C13" s="10">
        <f>'Occ T2'!C11</f>
        <v>1354.656644154659</v>
      </c>
      <c r="D13" s="10">
        <f>'Occ T2'!D11</f>
        <v>1353.7379872555568</v>
      </c>
      <c r="E13" s="10">
        <f>'Occ T2'!E11</f>
        <v>1459.9671953626994</v>
      </c>
      <c r="F13" s="10">
        <f>'Occ T2'!F11</f>
        <v>1588.4343307583806</v>
      </c>
      <c r="H13" s="11">
        <f t="shared" si="6"/>
        <v>185.2138238938528</v>
      </c>
      <c r="I13" s="30">
        <f t="shared" si="5"/>
        <v>-0.91865689910218862</v>
      </c>
      <c r="J13" s="11">
        <f t="shared" si="6"/>
        <v>106.22920810714254</v>
      </c>
      <c r="K13" s="11">
        <f t="shared" si="6"/>
        <v>128.46713539568123</v>
      </c>
      <c r="L13" s="30">
        <f t="shared" si="4"/>
        <v>234.69634350282377</v>
      </c>
    </row>
    <row r="14" spans="1:12" ht="12.9" x14ac:dyDescent="0.35">
      <c r="A14" s="10" t="str">
        <f>'Occ T2'!A12</f>
        <v>23 Teaching and other educational professionals</v>
      </c>
      <c r="B14" s="10">
        <f>'Occ T2'!B12</f>
        <v>1361.749185159139</v>
      </c>
      <c r="C14" s="10">
        <f>'Occ T2'!C12</f>
        <v>1441.2390325186961</v>
      </c>
      <c r="D14" s="10">
        <f>'Occ T2'!D12</f>
        <v>1500.5047473431287</v>
      </c>
      <c r="E14" s="10">
        <f>'Occ T2'!E12</f>
        <v>1561.7727543970723</v>
      </c>
      <c r="F14" s="10">
        <f>'Occ T2'!F12</f>
        <v>1699.3396854728551</v>
      </c>
      <c r="H14" s="11">
        <f t="shared" si="6"/>
        <v>79.489847359557189</v>
      </c>
      <c r="I14" s="30">
        <f t="shared" si="5"/>
        <v>59.265714824432507</v>
      </c>
      <c r="J14" s="11">
        <f t="shared" si="6"/>
        <v>61.26800705394362</v>
      </c>
      <c r="K14" s="11">
        <f t="shared" si="6"/>
        <v>137.5669310757828</v>
      </c>
      <c r="L14" s="30">
        <f t="shared" si="4"/>
        <v>198.83493812972642</v>
      </c>
    </row>
    <row r="15" spans="1:12" ht="12.9" x14ac:dyDescent="0.35">
      <c r="A15" s="10" t="str">
        <f>'Occ T2'!A13</f>
        <v>24 Business, media and public service professionals</v>
      </c>
      <c r="B15" s="10">
        <f>'Occ T2'!B13</f>
        <v>1796.9718795456633</v>
      </c>
      <c r="C15" s="10">
        <f>'Occ T2'!C13</f>
        <v>2126.0095445543111</v>
      </c>
      <c r="D15" s="10">
        <f>'Occ T2'!D13</f>
        <v>2289.6674970727631</v>
      </c>
      <c r="E15" s="10">
        <f>'Occ T2'!E13</f>
        <v>2575.4665831091975</v>
      </c>
      <c r="F15" s="10">
        <f>'Occ T2'!F13</f>
        <v>2883.476674638734</v>
      </c>
      <c r="H15" s="11">
        <f t="shared" ref="H15" si="7">C15-B15</f>
        <v>329.03766500864776</v>
      </c>
      <c r="I15" s="30">
        <f t="shared" si="5"/>
        <v>163.65795251845202</v>
      </c>
      <c r="J15" s="11">
        <f t="shared" ref="J15" si="8">E15-D15</f>
        <v>285.79908603643435</v>
      </c>
      <c r="K15" s="11">
        <f t="shared" ref="K15" si="9">F15-E15</f>
        <v>308.01009152953657</v>
      </c>
      <c r="L15" s="30">
        <f t="shared" si="4"/>
        <v>593.80917756597091</v>
      </c>
    </row>
    <row r="16" spans="1:12" ht="12.9" x14ac:dyDescent="0.35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ht="12.9" x14ac:dyDescent="0.35">
      <c r="A17" s="29" t="str">
        <f>'Occ T1'!A10</f>
        <v>Associate professional occupations</v>
      </c>
      <c r="B17" s="30">
        <f>'Occ T1'!B10</f>
        <v>3673.0788633877009</v>
      </c>
      <c r="C17" s="30">
        <f>'Occ T1'!C10</f>
        <v>3966.2899027660596</v>
      </c>
      <c r="D17" s="30">
        <f>'Occ T1'!D10</f>
        <v>4152.3256176523755</v>
      </c>
      <c r="E17" s="30">
        <f>'Occ T1'!E10</f>
        <v>4085.2103165469375</v>
      </c>
      <c r="F17" s="30">
        <f>'Occ T1'!F10</f>
        <v>4393.8811791663111</v>
      </c>
      <c r="H17" s="30">
        <f t="shared" ref="H17:K21" si="10">C17-B17</f>
        <v>293.21103937835869</v>
      </c>
      <c r="I17" s="30">
        <f t="shared" si="5"/>
        <v>186.03571488631587</v>
      </c>
      <c r="J17" s="30">
        <f t="shared" si="10"/>
        <v>-67.115301105437993</v>
      </c>
      <c r="K17" s="30">
        <f t="shared" si="10"/>
        <v>308.67086261937357</v>
      </c>
      <c r="L17" s="30">
        <f t="shared" si="4"/>
        <v>241.55556151393557</v>
      </c>
    </row>
    <row r="18" spans="1:12" ht="12.9" x14ac:dyDescent="0.35">
      <c r="A18" s="10" t="str">
        <f>'Occ T2'!A14</f>
        <v>31 Science, engineering and technology associate professionals</v>
      </c>
      <c r="B18" s="10">
        <f>'Occ T2'!B14</f>
        <v>463.28274271165401</v>
      </c>
      <c r="C18" s="10">
        <f>'Occ T2'!C14</f>
        <v>545.82660644977284</v>
      </c>
      <c r="D18" s="10">
        <f>'Occ T2'!D14</f>
        <v>591.71409062760927</v>
      </c>
      <c r="E18" s="10">
        <f>'Occ T2'!E14</f>
        <v>524.31655610528492</v>
      </c>
      <c r="F18" s="10">
        <f>'Occ T2'!F14</f>
        <v>561.40487958926167</v>
      </c>
      <c r="H18" s="11">
        <f t="shared" si="10"/>
        <v>82.54386373811883</v>
      </c>
      <c r="I18" s="30">
        <f t="shared" si="5"/>
        <v>45.887484177836427</v>
      </c>
      <c r="J18" s="11">
        <f t="shared" si="10"/>
        <v>-67.397534522324349</v>
      </c>
      <c r="K18" s="11">
        <f t="shared" si="10"/>
        <v>37.088323483976751</v>
      </c>
      <c r="L18" s="30">
        <f t="shared" si="4"/>
        <v>-30.309211038347598</v>
      </c>
    </row>
    <row r="19" spans="1:12" ht="12.9" x14ac:dyDescent="0.35">
      <c r="A19" s="10" t="str">
        <f>'Occ T2'!A15</f>
        <v>32 Health and social care associate professionals</v>
      </c>
      <c r="B19" s="10">
        <f>'Occ T2'!B15</f>
        <v>493.00201988165986</v>
      </c>
      <c r="C19" s="10">
        <f>'Occ T2'!C15</f>
        <v>555.82389825767791</v>
      </c>
      <c r="D19" s="10">
        <f>'Occ T2'!D15</f>
        <v>568.76339753397008</v>
      </c>
      <c r="E19" s="10">
        <f>'Occ T2'!E15</f>
        <v>577.22636351327287</v>
      </c>
      <c r="F19" s="10">
        <f>'Occ T2'!F15</f>
        <v>632.02415358167207</v>
      </c>
      <c r="H19" s="11">
        <f t="shared" si="10"/>
        <v>62.821878376018049</v>
      </c>
      <c r="I19" s="30">
        <f t="shared" si="5"/>
        <v>12.939499276292167</v>
      </c>
      <c r="J19" s="11">
        <f t="shared" si="10"/>
        <v>8.462965979302794</v>
      </c>
      <c r="K19" s="11">
        <f t="shared" si="10"/>
        <v>54.797790068399195</v>
      </c>
      <c r="L19" s="30">
        <f t="shared" si="4"/>
        <v>63.260756047701989</v>
      </c>
    </row>
    <row r="20" spans="1:12" ht="12.9" x14ac:dyDescent="0.35">
      <c r="A20" s="10" t="str">
        <f>'Occ T2'!A16</f>
        <v>33 Protective service occupations</v>
      </c>
      <c r="B20" s="10">
        <f>'Occ T2'!B16</f>
        <v>294.53338224612929</v>
      </c>
      <c r="C20" s="10">
        <f>'Occ T2'!C16</f>
        <v>302.83777946632188</v>
      </c>
      <c r="D20" s="10">
        <f>'Occ T2'!D16</f>
        <v>321.69473826189443</v>
      </c>
      <c r="E20" s="10">
        <f>'Occ T2'!E16</f>
        <v>383.8000265113613</v>
      </c>
      <c r="F20" s="10">
        <f>'Occ T2'!F16</f>
        <v>442.14672512900484</v>
      </c>
      <c r="H20" s="11">
        <f t="shared" si="10"/>
        <v>8.304397220192584</v>
      </c>
      <c r="I20" s="30">
        <f t="shared" si="5"/>
        <v>18.856958795572552</v>
      </c>
      <c r="J20" s="11">
        <f t="shared" si="10"/>
        <v>62.105288249466867</v>
      </c>
      <c r="K20" s="11">
        <f t="shared" si="10"/>
        <v>58.34669861764354</v>
      </c>
      <c r="L20" s="30">
        <f t="shared" si="4"/>
        <v>120.45198686711041</v>
      </c>
    </row>
    <row r="21" spans="1:12" ht="12.9" x14ac:dyDescent="0.35">
      <c r="A21" s="10" t="str">
        <f>'Occ T2'!A17</f>
        <v>34 Culture, media and sports occupations</v>
      </c>
      <c r="B21" s="10">
        <f>'Occ T2'!B17</f>
        <v>627.36985128235654</v>
      </c>
      <c r="C21" s="10">
        <f>'Occ T2'!C17</f>
        <v>627.37830048121612</v>
      </c>
      <c r="D21" s="10">
        <f>'Occ T2'!D17</f>
        <v>678.67489071769273</v>
      </c>
      <c r="E21" s="10">
        <f>'Occ T2'!E17</f>
        <v>673.70053836370653</v>
      </c>
      <c r="F21" s="10">
        <f>'Occ T2'!F17</f>
        <v>746.4495820140279</v>
      </c>
      <c r="H21" s="11">
        <f t="shared" si="10"/>
        <v>8.4491988595800649E-3</v>
      </c>
      <c r="I21" s="30">
        <f t="shared" si="5"/>
        <v>51.296590236476618</v>
      </c>
      <c r="J21" s="11">
        <f t="shared" si="10"/>
        <v>-4.9743523539862053</v>
      </c>
      <c r="K21" s="11">
        <f t="shared" si="10"/>
        <v>72.749043650321369</v>
      </c>
      <c r="L21" s="30">
        <f t="shared" si="4"/>
        <v>67.774691296335163</v>
      </c>
    </row>
    <row r="22" spans="1:12" ht="12.9" x14ac:dyDescent="0.35">
      <c r="A22" s="10" t="str">
        <f>'Occ T2'!A18</f>
        <v>35 Business and public service associate professionals</v>
      </c>
      <c r="B22" s="10">
        <f>'Occ T2'!B18</f>
        <v>1794.8908672659011</v>
      </c>
      <c r="C22" s="10">
        <f>'Occ T2'!C18</f>
        <v>1934.4233181110706</v>
      </c>
      <c r="D22" s="10">
        <f>'Occ T2'!D18</f>
        <v>1991.4785005112092</v>
      </c>
      <c r="E22" s="10">
        <f>'Occ T2'!E18</f>
        <v>1926.1668320533122</v>
      </c>
      <c r="F22" s="10">
        <f>'Occ T2'!F18</f>
        <v>2011.855838852345</v>
      </c>
      <c r="H22" s="11">
        <f t="shared" ref="H22" si="11">C22-B22</f>
        <v>139.53245084516948</v>
      </c>
      <c r="I22" s="30">
        <f t="shared" si="5"/>
        <v>57.055182400138619</v>
      </c>
      <c r="J22" s="11">
        <f t="shared" ref="J22" si="12">E22-D22</f>
        <v>-65.311668457896985</v>
      </c>
      <c r="K22" s="11">
        <f t="shared" ref="K22" si="13">F22-E22</f>
        <v>85.689006799032768</v>
      </c>
      <c r="L22" s="30">
        <f t="shared" si="4"/>
        <v>20.377338341135783</v>
      </c>
    </row>
    <row r="23" spans="1:12" ht="12.9" x14ac:dyDescent="0.35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ht="12.9" x14ac:dyDescent="0.35">
      <c r="A24" s="29" t="str">
        <f>'Occ T1'!A11</f>
        <v>Administrative and secretarial occupations</v>
      </c>
      <c r="B24" s="30">
        <f>'Occ T1'!B11</f>
        <v>3149.4937606467925</v>
      </c>
      <c r="C24" s="30">
        <f>'Occ T1'!C11</f>
        <v>3060.9066259906567</v>
      </c>
      <c r="D24" s="30">
        <f>'Occ T1'!D11</f>
        <v>3147.0303376748875</v>
      </c>
      <c r="E24" s="30">
        <f>'Occ T1'!E11</f>
        <v>2968.9679970158159</v>
      </c>
      <c r="F24" s="30">
        <f>'Occ T1'!F11</f>
        <v>2720.1220560833954</v>
      </c>
      <c r="H24" s="30">
        <f t="shared" ref="H24:K26" si="14">C24-B24</f>
        <v>-88.587134656135731</v>
      </c>
      <c r="I24" s="30">
        <f t="shared" si="5"/>
        <v>86.123711684230784</v>
      </c>
      <c r="J24" s="30">
        <f t="shared" si="14"/>
        <v>-178.06234065907165</v>
      </c>
      <c r="K24" s="30">
        <f t="shared" si="14"/>
        <v>-248.84594093242049</v>
      </c>
      <c r="L24" s="30">
        <f t="shared" si="4"/>
        <v>-426.90828159149214</v>
      </c>
    </row>
    <row r="25" spans="1:12" ht="12.9" x14ac:dyDescent="0.35">
      <c r="A25" t="str">
        <f>'Occ T2'!A19</f>
        <v>41 Administrative occupations</v>
      </c>
      <c r="B25" s="31">
        <f>'Occ T2'!B19</f>
        <v>2509.3095493404007</v>
      </c>
      <c r="C25" s="31">
        <f>'Occ T2'!C19</f>
        <v>2472.5923602894604</v>
      </c>
      <c r="D25" s="31">
        <f>'Occ T2'!D19</f>
        <v>2574.3940918239059</v>
      </c>
      <c r="E25" s="31">
        <f>'Occ T2'!E19</f>
        <v>2372.2937772534642</v>
      </c>
      <c r="F25" s="31">
        <f>'Occ T2'!F19</f>
        <v>2246.6551666385835</v>
      </c>
      <c r="H25" s="11">
        <f t="shared" si="14"/>
        <v>-36.717189050940306</v>
      </c>
      <c r="I25" s="30">
        <f t="shared" si="5"/>
        <v>101.80173153444548</v>
      </c>
      <c r="J25" s="11">
        <f t="shared" si="14"/>
        <v>-202.1003145704417</v>
      </c>
      <c r="K25" s="11">
        <f t="shared" si="14"/>
        <v>-125.63861061488069</v>
      </c>
      <c r="L25" s="30">
        <f t="shared" si="4"/>
        <v>-327.73892518532239</v>
      </c>
    </row>
    <row r="26" spans="1:12" ht="12.9" x14ac:dyDescent="0.35">
      <c r="A26" t="str">
        <f>'Occ T2'!A20</f>
        <v>42 Secretarial and related occupations</v>
      </c>
      <c r="B26" s="31">
        <f>'Occ T2'!B20</f>
        <v>640.1842113063916</v>
      </c>
      <c r="C26" s="31">
        <f>'Occ T2'!C20</f>
        <v>588.31426570119652</v>
      </c>
      <c r="D26" s="31">
        <f>'Occ T2'!D20</f>
        <v>572.63624585098148</v>
      </c>
      <c r="E26" s="31">
        <f>'Occ T2'!E20</f>
        <v>596.67421976235141</v>
      </c>
      <c r="F26" s="31">
        <f>'Occ T2'!F20</f>
        <v>473.46688944481207</v>
      </c>
      <c r="H26" s="11">
        <f t="shared" si="14"/>
        <v>-51.869945605195085</v>
      </c>
      <c r="I26" s="30">
        <f t="shared" si="5"/>
        <v>-15.678019850215037</v>
      </c>
      <c r="J26" s="11">
        <f t="shared" si="14"/>
        <v>24.037973911369932</v>
      </c>
      <c r="K26" s="11">
        <f t="shared" si="14"/>
        <v>-123.20733031753934</v>
      </c>
      <c r="L26" s="30">
        <f t="shared" si="4"/>
        <v>-99.169356406169413</v>
      </c>
    </row>
    <row r="27" spans="1:12" ht="12.9" x14ac:dyDescent="0.35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ht="12.9" x14ac:dyDescent="0.35">
      <c r="A28" s="29" t="str">
        <f>'Occ T1'!A12</f>
        <v>Skilled trades occupations</v>
      </c>
      <c r="B28" s="30">
        <f>'Occ T1'!B12</f>
        <v>2889.6909563037434</v>
      </c>
      <c r="C28" s="30">
        <f>'Occ T1'!C12</f>
        <v>2850.7714544337691</v>
      </c>
      <c r="D28" s="30">
        <f>'Occ T1'!D12</f>
        <v>2510.2782475953591</v>
      </c>
      <c r="E28" s="30">
        <f>'Occ T1'!E12</f>
        <v>2554.2376173672178</v>
      </c>
      <c r="F28" s="30">
        <f>'Occ T1'!F12</f>
        <v>2494.1382265499906</v>
      </c>
      <c r="H28" s="30">
        <f t="shared" ref="H28:K30" si="15">C28-B28</f>
        <v>-38.919501869974283</v>
      </c>
      <c r="I28" s="30">
        <f t="shared" si="5"/>
        <v>-340.49320683841006</v>
      </c>
      <c r="J28" s="30">
        <f t="shared" si="15"/>
        <v>43.959369771858746</v>
      </c>
      <c r="K28" s="30">
        <f t="shared" si="15"/>
        <v>-60.099390817227231</v>
      </c>
      <c r="L28" s="30">
        <f t="shared" si="4"/>
        <v>-16.140021045368485</v>
      </c>
    </row>
    <row r="29" spans="1:12" ht="12.9" x14ac:dyDescent="0.35">
      <c r="A29" s="10" t="str">
        <f>'Occ T2'!A21</f>
        <v>51 Skilled agricultural and related trades</v>
      </c>
      <c r="B29" s="10">
        <f>'Occ T2'!B21</f>
        <v>298.83864607965563</v>
      </c>
      <c r="C29" s="10">
        <f>'Occ T2'!C21</f>
        <v>302.26783410806149</v>
      </c>
      <c r="D29" s="10">
        <f>'Occ T2'!D21</f>
        <v>271.23814466195341</v>
      </c>
      <c r="E29" s="10">
        <f>'Occ T2'!E21</f>
        <v>278.07886381464004</v>
      </c>
      <c r="F29" s="10">
        <f>'Occ T2'!F21</f>
        <v>309.33559436851789</v>
      </c>
      <c r="H29" s="11">
        <f t="shared" si="15"/>
        <v>3.4291880284058607</v>
      </c>
      <c r="I29" s="30">
        <f t="shared" si="5"/>
        <v>-31.02968944610808</v>
      </c>
      <c r="J29" s="11">
        <f t="shared" si="15"/>
        <v>6.8407191526866313</v>
      </c>
      <c r="K29" s="11">
        <f t="shared" si="15"/>
        <v>31.256730553877844</v>
      </c>
      <c r="L29" s="30">
        <f t="shared" si="4"/>
        <v>38.097449706564475</v>
      </c>
    </row>
    <row r="30" spans="1:12" ht="12.9" x14ac:dyDescent="0.35">
      <c r="A30" s="10" t="str">
        <f>'Occ T2'!A22</f>
        <v>52 Skilled metal, electrical and electronic trades</v>
      </c>
      <c r="B30" s="10">
        <f>'Occ T2'!B22</f>
        <v>1042.1574658136535</v>
      </c>
      <c r="C30" s="10">
        <f>'Occ T2'!C22</f>
        <v>1064.18444026626</v>
      </c>
      <c r="D30" s="10">
        <f>'Occ T2'!D22</f>
        <v>926.35566763503004</v>
      </c>
      <c r="E30" s="10">
        <f>'Occ T2'!E22</f>
        <v>921.75387247782987</v>
      </c>
      <c r="F30" s="10">
        <f>'Occ T2'!F22</f>
        <v>872.67621532730266</v>
      </c>
      <c r="H30" s="11">
        <f t="shared" si="15"/>
        <v>22.02697445260651</v>
      </c>
      <c r="I30" s="30">
        <f t="shared" si="5"/>
        <v>-137.82877263122998</v>
      </c>
      <c r="J30" s="11">
        <f t="shared" si="15"/>
        <v>-4.6017951572001721</v>
      </c>
      <c r="K30" s="11">
        <f t="shared" si="15"/>
        <v>-49.077657150527216</v>
      </c>
      <c r="L30" s="30">
        <f t="shared" si="4"/>
        <v>-53.679452307727388</v>
      </c>
    </row>
    <row r="31" spans="1:12" ht="12.9" x14ac:dyDescent="0.35">
      <c r="A31" s="10" t="str">
        <f>'Occ T2'!A23</f>
        <v>53 Skilled construction and building trades</v>
      </c>
      <c r="B31" s="10">
        <f>'Occ T2'!B23</f>
        <v>918.22690874959676</v>
      </c>
      <c r="C31" s="10">
        <f>'Occ T2'!C23</f>
        <v>907.39739905518638</v>
      </c>
      <c r="D31" s="10">
        <f>'Occ T2'!D23</f>
        <v>767.57313691964396</v>
      </c>
      <c r="E31" s="10">
        <f>'Occ T2'!E23</f>
        <v>809.08762001601656</v>
      </c>
      <c r="F31" s="10">
        <f>'Occ T2'!F23</f>
        <v>763.22944153326262</v>
      </c>
      <c r="H31" s="11">
        <f t="shared" ref="H31:H32" si="16">C31-B31</f>
        <v>-10.829509694410376</v>
      </c>
      <c r="I31" s="30">
        <f t="shared" si="5"/>
        <v>-139.82426213554243</v>
      </c>
      <c r="J31" s="11">
        <f t="shared" ref="J31:J32" si="17">E31-D31</f>
        <v>41.514483096372601</v>
      </c>
      <c r="K31" s="11">
        <f t="shared" ref="K31:K32" si="18">F31-E31</f>
        <v>-45.858178482753942</v>
      </c>
      <c r="L31" s="30">
        <f t="shared" si="4"/>
        <v>-4.3436953863813415</v>
      </c>
    </row>
    <row r="32" spans="1:12" ht="12.9" x14ac:dyDescent="0.35">
      <c r="A32" s="10" t="str">
        <f>'Occ T2'!A24</f>
        <v>54 Textiles, printing and other skilled trades</v>
      </c>
      <c r="B32" s="10">
        <f>'Occ T2'!B24</f>
        <v>630.46793566083784</v>
      </c>
      <c r="C32" s="10">
        <f>'Occ T2'!C24</f>
        <v>576.92178100426145</v>
      </c>
      <c r="D32" s="10">
        <f>'Occ T2'!D24</f>
        <v>545.11129837873182</v>
      </c>
      <c r="E32" s="10">
        <f>'Occ T2'!E24</f>
        <v>545.31726105873133</v>
      </c>
      <c r="F32" s="10">
        <f>'Occ T2'!F24</f>
        <v>548.89697532090725</v>
      </c>
      <c r="H32" s="11">
        <f t="shared" si="16"/>
        <v>-53.546154656576391</v>
      </c>
      <c r="I32" s="30">
        <f t="shared" si="5"/>
        <v>-31.81048262552963</v>
      </c>
      <c r="J32" s="11">
        <f t="shared" si="17"/>
        <v>0.20596267999951579</v>
      </c>
      <c r="K32" s="11">
        <f t="shared" si="18"/>
        <v>3.5797142621759122</v>
      </c>
      <c r="L32" s="30">
        <f t="shared" si="4"/>
        <v>3.7856769421754279</v>
      </c>
    </row>
    <row r="33" spans="1:12" ht="12.9" x14ac:dyDescent="0.35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ht="12.9" x14ac:dyDescent="0.35">
      <c r="A34" s="29" t="str">
        <f>'Occ T1'!A13</f>
        <v>Caring, leisure and other service occupations</v>
      </c>
      <c r="B34" s="30">
        <f>'Occ T1'!B13</f>
        <v>2686.476945366268</v>
      </c>
      <c r="C34" s="30">
        <f>'Occ T1'!C13</f>
        <v>2794.9761350106005</v>
      </c>
      <c r="D34" s="30">
        <f>'Occ T1'!D13</f>
        <v>2683.1938804533893</v>
      </c>
      <c r="E34" s="30">
        <f>'Occ T1'!E13</f>
        <v>2869.9409146651319</v>
      </c>
      <c r="F34" s="30">
        <f>'Occ T1'!F13</f>
        <v>3104.1211527286227</v>
      </c>
      <c r="H34" s="30">
        <f t="shared" ref="H34:K36" si="19">C34-B34</f>
        <v>108.49918964433255</v>
      </c>
      <c r="I34" s="30">
        <f t="shared" si="5"/>
        <v>-111.78225455721122</v>
      </c>
      <c r="J34" s="30">
        <f t="shared" si="19"/>
        <v>186.74703421174263</v>
      </c>
      <c r="K34" s="30">
        <f t="shared" si="19"/>
        <v>234.18023806349083</v>
      </c>
      <c r="L34" s="30">
        <f t="shared" si="4"/>
        <v>420.92727227523346</v>
      </c>
    </row>
    <row r="35" spans="1:12" ht="12.9" x14ac:dyDescent="0.35">
      <c r="A35" s="10" t="str">
        <f>'Occ T2'!A25</f>
        <v>61 Caring personal service occupations</v>
      </c>
      <c r="B35" s="10">
        <f>'Occ T2'!B25</f>
        <v>2030.2468142039761</v>
      </c>
      <c r="C35" s="10">
        <f>'Occ T2'!C25</f>
        <v>2089.805287791341</v>
      </c>
      <c r="D35" s="10">
        <f>'Occ T2'!D25</f>
        <v>2025.984443266439</v>
      </c>
      <c r="E35" s="10">
        <f>'Occ T2'!E25</f>
        <v>2205.3352260260999</v>
      </c>
      <c r="F35" s="10">
        <f>'Occ T2'!F25</f>
        <v>2414.2517515389786</v>
      </c>
      <c r="G35" s="10"/>
      <c r="H35" s="11">
        <f t="shared" si="19"/>
        <v>59.558473587364915</v>
      </c>
      <c r="I35" s="30">
        <f t="shared" si="5"/>
        <v>-63.820844524901986</v>
      </c>
      <c r="J35" s="11">
        <f t="shared" si="19"/>
        <v>179.35078275966089</v>
      </c>
      <c r="K35" s="11">
        <f t="shared" si="19"/>
        <v>208.91652551287871</v>
      </c>
      <c r="L35" s="30">
        <f t="shared" si="4"/>
        <v>388.26730827253959</v>
      </c>
    </row>
    <row r="36" spans="1:12" ht="12.9" x14ac:dyDescent="0.35">
      <c r="A36" s="10" t="str">
        <f>'Occ T2'!A26</f>
        <v>62 Leisure, travel and related personal service occupations</v>
      </c>
      <c r="B36" s="10">
        <f>'Occ T2'!B26</f>
        <v>627.38990653790802</v>
      </c>
      <c r="C36" s="10">
        <f>'Occ T2'!C26</f>
        <v>680.2954268390763</v>
      </c>
      <c r="D36" s="10">
        <f>'Occ T2'!D26</f>
        <v>625.46697377789098</v>
      </c>
      <c r="E36" s="10">
        <f>'Occ T2'!E26</f>
        <v>638.83622897159728</v>
      </c>
      <c r="F36" s="10">
        <f>'Occ T2'!F26</f>
        <v>662.04991372339862</v>
      </c>
      <c r="G36" s="10"/>
      <c r="H36" s="11">
        <f t="shared" si="19"/>
        <v>52.905520301168281</v>
      </c>
      <c r="I36" s="30">
        <f t="shared" si="5"/>
        <v>-54.828453061185314</v>
      </c>
      <c r="J36" s="11">
        <f t="shared" si="19"/>
        <v>13.369255193706294</v>
      </c>
      <c r="K36" s="11">
        <f t="shared" si="19"/>
        <v>23.213684751801338</v>
      </c>
      <c r="L36" s="30">
        <f t="shared" si="4"/>
        <v>36.582939945507633</v>
      </c>
    </row>
    <row r="37" spans="1:12" ht="12.9" x14ac:dyDescent="0.35">
      <c r="A37" s="10" t="str">
        <f>'Occ T2'!A27</f>
        <v>63 Community and civil enforcement occupations</v>
      </c>
      <c r="B37" s="10">
        <f>'Occ T2'!B27</f>
        <v>28.840224624383744</v>
      </c>
      <c r="C37" s="10">
        <f>'Occ T2'!C27</f>
        <v>24.87542038018313</v>
      </c>
      <c r="D37" s="10">
        <f>'Occ T2'!D27</f>
        <v>31.742463409059319</v>
      </c>
      <c r="E37" s="10">
        <f>'Occ T2'!E27</f>
        <v>25.76945966743477</v>
      </c>
      <c r="F37" s="10">
        <f>'Occ T2'!F27</f>
        <v>27.819487466245615</v>
      </c>
      <c r="G37" s="10"/>
      <c r="H37" s="11">
        <f t="shared" ref="H37" si="20">C37-B37</f>
        <v>-3.9648042442006144</v>
      </c>
      <c r="I37" s="30">
        <f t="shared" ref="I37" si="21">D37-C37</f>
        <v>6.8670430288761892</v>
      </c>
      <c r="J37" s="11">
        <f t="shared" ref="J37" si="22">E37-D37</f>
        <v>-5.9730037416245487</v>
      </c>
      <c r="K37" s="11">
        <f>F37-E37</f>
        <v>2.0500277988108451</v>
      </c>
      <c r="L37" s="30">
        <f t="shared" ref="L37" si="23">F37-D37</f>
        <v>-3.9229759428137037</v>
      </c>
    </row>
    <row r="38" spans="1:12" ht="12.9" x14ac:dyDescent="0.35">
      <c r="I38" s="30"/>
      <c r="L38" s="30"/>
    </row>
    <row r="39" spans="1:12" s="29" customFormat="1" ht="12.9" x14ac:dyDescent="0.35">
      <c r="A39" s="29" t="str">
        <f>'Occ T1'!A14</f>
        <v>Sales and customer service occupations</v>
      </c>
      <c r="B39" s="30">
        <f>'Occ T1'!B14</f>
        <v>2451.7146582710288</v>
      </c>
      <c r="C39" s="30">
        <f>'Occ T1'!C14</f>
        <v>2391.0620840559268</v>
      </c>
      <c r="D39" s="30">
        <f>'Occ T1'!D14</f>
        <v>2362.3332816348438</v>
      </c>
      <c r="E39" s="30">
        <f>'Occ T1'!E14</f>
        <v>2379.1398631656634</v>
      </c>
      <c r="F39" s="30">
        <f>'Occ T1'!F14</f>
        <v>2388.7952867984582</v>
      </c>
      <c r="H39" s="30">
        <f>C39-B39</f>
        <v>-60.652574215102049</v>
      </c>
      <c r="I39" s="30">
        <f t="shared" si="5"/>
        <v>-28.728802421082946</v>
      </c>
      <c r="J39" s="30">
        <f>E39-D39</f>
        <v>16.806581530819585</v>
      </c>
      <c r="K39" s="30">
        <f>F39-E39</f>
        <v>9.6554236327947365</v>
      </c>
      <c r="L39" s="30">
        <f t="shared" si="4"/>
        <v>26.462005163614322</v>
      </c>
    </row>
    <row r="40" spans="1:12" s="29" customFormat="1" ht="12.9" x14ac:dyDescent="0.35">
      <c r="A40" s="125" t="str">
        <f>'Occ T2'!A28</f>
        <v>71 Sales occupations</v>
      </c>
      <c r="B40" s="125">
        <f>'Occ T2'!B28</f>
        <v>1992.1189392123579</v>
      </c>
      <c r="C40" s="125">
        <f>'Occ T2'!C28</f>
        <v>1892.2329930164867</v>
      </c>
      <c r="D40" s="125">
        <f>'Occ T2'!D28</f>
        <v>1852.3067229280093</v>
      </c>
      <c r="E40" s="125">
        <f>'Occ T2'!E28</f>
        <v>1722.4810841858018</v>
      </c>
      <c r="F40" s="125">
        <f>'Occ T2'!F28</f>
        <v>1638.8493200669641</v>
      </c>
      <c r="G40"/>
      <c r="H40" s="11">
        <f t="shared" ref="H40" si="24">C40-B40</f>
        <v>-99.885946195871156</v>
      </c>
      <c r="I40" s="30">
        <f t="shared" si="5"/>
        <v>-39.926270088477395</v>
      </c>
      <c r="J40" s="11">
        <f t="shared" ref="J40" si="25">E40-D40</f>
        <v>-129.8256387422075</v>
      </c>
      <c r="K40" s="11">
        <f t="shared" ref="K40" si="26">F40-E40</f>
        <v>-83.631764118837737</v>
      </c>
      <c r="L40" s="30">
        <f t="shared" si="4"/>
        <v>-213.45740286104524</v>
      </c>
    </row>
    <row r="41" spans="1:12" s="29" customFormat="1" ht="12.9" x14ac:dyDescent="0.35">
      <c r="A41" s="125" t="str">
        <f>'Occ T2'!A29</f>
        <v>72 Customer service occupations</v>
      </c>
      <c r="B41" s="125">
        <f>'Occ T2'!B29</f>
        <v>459.59571905867102</v>
      </c>
      <c r="C41" s="125">
        <f>'Occ T2'!C29</f>
        <v>498.82909103944002</v>
      </c>
      <c r="D41" s="125">
        <f>'Occ T2'!D29</f>
        <v>510.02655870683429</v>
      </c>
      <c r="E41" s="125">
        <f>'Occ T2'!E29</f>
        <v>656.65877897986149</v>
      </c>
      <c r="F41" s="125">
        <f>'Occ T2'!F29</f>
        <v>749.94596673149408</v>
      </c>
      <c r="G41"/>
      <c r="H41" s="11">
        <f t="shared" ref="H41" si="27">C41-B41</f>
        <v>39.233371980768993</v>
      </c>
      <c r="I41" s="30">
        <f t="shared" si="5"/>
        <v>11.197467667394278</v>
      </c>
      <c r="J41" s="11">
        <f t="shared" ref="J41" si="28">E41-D41</f>
        <v>146.6322202730272</v>
      </c>
      <c r="K41" s="11">
        <f t="shared" ref="K41" si="29">F41-E41</f>
        <v>93.287187751632587</v>
      </c>
      <c r="L41" s="30">
        <f t="shared" si="4"/>
        <v>239.91940802465979</v>
      </c>
    </row>
    <row r="42" spans="1:12" ht="12.9" x14ac:dyDescent="0.35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ht="12.9" x14ac:dyDescent="0.35">
      <c r="A43" s="29" t="str">
        <f>'Occ T1'!A15</f>
        <v>Process, plant and machine operatives</v>
      </c>
      <c r="B43" s="30">
        <f>'Occ T1'!B15</f>
        <v>1767.3257043641233</v>
      </c>
      <c r="C43" s="30">
        <f>'Occ T1'!C15</f>
        <v>1870.5480838882245</v>
      </c>
      <c r="D43" s="30">
        <f>'Occ T1'!D15</f>
        <v>1662.1375442945014</v>
      </c>
      <c r="E43" s="30">
        <f>'Occ T1'!E15</f>
        <v>1867.9319690347922</v>
      </c>
      <c r="F43" s="30">
        <f>'Occ T1'!F15</f>
        <v>1852.0872704524211</v>
      </c>
      <c r="H43" s="30">
        <f t="shared" ref="H43:K45" si="30">C43-B43</f>
        <v>103.22237952410114</v>
      </c>
      <c r="I43" s="30">
        <f t="shared" si="5"/>
        <v>-208.41053959372312</v>
      </c>
      <c r="J43" s="30">
        <f t="shared" si="30"/>
        <v>205.79442474029088</v>
      </c>
      <c r="K43" s="30">
        <f t="shared" si="30"/>
        <v>-15.844698582371166</v>
      </c>
      <c r="L43" s="30">
        <f t="shared" si="4"/>
        <v>189.94972615791971</v>
      </c>
    </row>
    <row r="44" spans="1:12" ht="12.9" x14ac:dyDescent="0.35">
      <c r="A44" s="10" t="str">
        <f>'Occ T2'!A30</f>
        <v>81 Process, plant and machine operatives</v>
      </c>
      <c r="B44" s="10">
        <f>'Occ T2'!B30</f>
        <v>713.31333030825101</v>
      </c>
      <c r="C44" s="10">
        <f>'Occ T2'!C30</f>
        <v>691.72064265695496</v>
      </c>
      <c r="D44" s="10">
        <f>'Occ T2'!D30</f>
        <v>607.28189366049708</v>
      </c>
      <c r="E44" s="10">
        <f>'Occ T2'!E30</f>
        <v>731.01802160684156</v>
      </c>
      <c r="F44" s="10">
        <f>'Occ T2'!F30</f>
        <v>716.39137017341181</v>
      </c>
      <c r="H44" s="11">
        <f t="shared" si="30"/>
        <v>-21.592687651296046</v>
      </c>
      <c r="I44" s="30">
        <f t="shared" si="5"/>
        <v>-84.438748996457889</v>
      </c>
      <c r="J44" s="11">
        <f t="shared" si="30"/>
        <v>123.73612794634448</v>
      </c>
      <c r="K44" s="11">
        <f t="shared" si="30"/>
        <v>-14.626651433429743</v>
      </c>
      <c r="L44" s="30">
        <f t="shared" si="4"/>
        <v>109.10947651291474</v>
      </c>
    </row>
    <row r="45" spans="1:12" ht="12.9" x14ac:dyDescent="0.35">
      <c r="A45" s="10" t="str">
        <f>'Occ T2'!A31</f>
        <v>82 Transport and mobile machine drivers and operatives</v>
      </c>
      <c r="B45" s="10">
        <f>'Occ T2'!B31</f>
        <v>1054.0123740558722</v>
      </c>
      <c r="C45" s="10">
        <f>'Occ T2'!C31</f>
        <v>1178.8274412312694</v>
      </c>
      <c r="D45" s="10">
        <f>'Occ T2'!D31</f>
        <v>1054.8556506340044</v>
      </c>
      <c r="E45" s="10">
        <f>'Occ T2'!E31</f>
        <v>1136.9139474279507</v>
      </c>
      <c r="F45" s="10">
        <f>'Occ T2'!F31</f>
        <v>1135.6959002790093</v>
      </c>
      <c r="H45" s="11">
        <f t="shared" si="30"/>
        <v>124.81506717539719</v>
      </c>
      <c r="I45" s="30">
        <f t="shared" si="5"/>
        <v>-123.971790597265</v>
      </c>
      <c r="J45" s="11">
        <f t="shared" si="30"/>
        <v>82.058296793946283</v>
      </c>
      <c r="K45" s="11">
        <f t="shared" si="30"/>
        <v>-1.2180471489414231</v>
      </c>
      <c r="L45" s="30">
        <f t="shared" si="4"/>
        <v>80.84024964500486</v>
      </c>
    </row>
    <row r="46" spans="1:12" ht="12.9" x14ac:dyDescent="0.35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ht="12.9" x14ac:dyDescent="0.35">
      <c r="A47" s="29" t="str">
        <f>'Occ T1'!A16</f>
        <v>Elementary occupations</v>
      </c>
      <c r="B47" s="30">
        <f>'Occ T1'!B16</f>
        <v>3302.1923629942416</v>
      </c>
      <c r="C47" s="30">
        <f>'Occ T1'!C16</f>
        <v>3290.2423965940557</v>
      </c>
      <c r="D47" s="30">
        <f>'Occ T1'!D16</f>
        <v>3001.5109789107441</v>
      </c>
      <c r="E47" s="30">
        <f>'Occ T1'!E16</f>
        <v>3009.8110450580339</v>
      </c>
      <c r="F47" s="30">
        <f>'Occ T1'!F16</f>
        <v>2907.1002530060523</v>
      </c>
      <c r="H47" s="30">
        <f t="shared" ref="H47:K49" si="31">C47-B47</f>
        <v>-11.949966400185986</v>
      </c>
      <c r="I47" s="30">
        <f t="shared" si="5"/>
        <v>-288.73141768331152</v>
      </c>
      <c r="J47" s="30">
        <f t="shared" si="31"/>
        <v>8.3000661472897264</v>
      </c>
      <c r="K47" s="30">
        <f t="shared" si="31"/>
        <v>-102.71079205198157</v>
      </c>
      <c r="L47" s="30">
        <f t="shared" si="4"/>
        <v>-94.410725904691844</v>
      </c>
    </row>
    <row r="48" spans="1:12" ht="12.9" x14ac:dyDescent="0.35">
      <c r="A48" s="10" t="str">
        <f>'Occ T2'!A32</f>
        <v>91 Elementary trades and related occupations</v>
      </c>
      <c r="B48" s="10">
        <f>'Occ T2'!B32</f>
        <v>475.90883310534315</v>
      </c>
      <c r="C48" s="10">
        <f>'Occ T2'!C32</f>
        <v>428.55047108245543</v>
      </c>
      <c r="D48" s="10">
        <f>'Occ T2'!D32</f>
        <v>381.35221201872946</v>
      </c>
      <c r="E48" s="10">
        <f>'Occ T2'!E32</f>
        <v>321.40447089613929</v>
      </c>
      <c r="F48" s="10">
        <f>'Occ T2'!F32</f>
        <v>305.22320056621066</v>
      </c>
      <c r="H48" s="11">
        <f>C48-B48</f>
        <v>-47.358362022887718</v>
      </c>
      <c r="I48" s="30">
        <f t="shared" si="5"/>
        <v>-47.19825906372597</v>
      </c>
      <c r="J48" s="11">
        <f t="shared" si="31"/>
        <v>-59.947741122590173</v>
      </c>
      <c r="K48" s="11">
        <f t="shared" si="31"/>
        <v>-16.181270329928623</v>
      </c>
      <c r="L48" s="30">
        <f t="shared" si="4"/>
        <v>-76.129011452518796</v>
      </c>
    </row>
    <row r="49" spans="1:12" ht="12.9" x14ac:dyDescent="0.35">
      <c r="A49" s="10" t="str">
        <f>'Occ T2'!A33</f>
        <v>92 Elementary administration and service occupations</v>
      </c>
      <c r="B49" s="10">
        <f>'Occ T2'!B33</f>
        <v>2826.2835298888986</v>
      </c>
      <c r="C49" s="10">
        <f>'Occ T2'!C33</f>
        <v>2861.6919255116004</v>
      </c>
      <c r="D49" s="10">
        <f>'Occ T2'!D33</f>
        <v>2620.1587668920147</v>
      </c>
      <c r="E49" s="10">
        <f>'Occ T2'!E33</f>
        <v>2688.4065741618947</v>
      </c>
      <c r="F49" s="10">
        <f>'Occ T2'!F33</f>
        <v>2601.8770524398415</v>
      </c>
      <c r="H49" s="11">
        <f t="shared" si="31"/>
        <v>35.408395622701846</v>
      </c>
      <c r="I49" s="30">
        <f t="shared" si="5"/>
        <v>-241.53315861958572</v>
      </c>
      <c r="J49" s="11">
        <f t="shared" si="31"/>
        <v>68.247807269880013</v>
      </c>
      <c r="K49" s="11">
        <f t="shared" si="31"/>
        <v>-86.529521722053232</v>
      </c>
      <c r="L49" s="30">
        <f t="shared" si="4"/>
        <v>-18.281714452173219</v>
      </c>
    </row>
    <row r="50" spans="1:12" ht="12.9" x14ac:dyDescent="0.35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ht="12.9" x14ac:dyDescent="0.35">
      <c r="A51" s="38" t="str">
        <f>'Occ T1'!A18</f>
        <v>All occupations</v>
      </c>
      <c r="B51" s="33">
        <f>'Occ T1'!B18</f>
        <v>28656.171999997779</v>
      </c>
      <c r="C51" s="33">
        <f>'Occ T1'!C18</f>
        <v>30212.759999993872</v>
      </c>
      <c r="D51" s="33">
        <f>'Occ T1'!D18</f>
        <v>29859.680999995038</v>
      </c>
      <c r="E51" s="33">
        <f>'Occ T1'!E18</f>
        <v>30754.748000010026</v>
      </c>
      <c r="F51" s="33">
        <f>'Occ T1'!F18</f>
        <v>32070.090999998909</v>
      </c>
      <c r="G51" s="23"/>
      <c r="H51" s="33">
        <f>C51-B51</f>
        <v>1556.5879999960925</v>
      </c>
      <c r="I51" s="205">
        <f>D51-C51</f>
        <v>-353.07899999883375</v>
      </c>
      <c r="J51" s="33">
        <f>E51-D51</f>
        <v>895.06700001498757</v>
      </c>
      <c r="K51" s="33">
        <f>F51-E51</f>
        <v>1315.3429999888831</v>
      </c>
      <c r="L51" s="205">
        <f>F51-D51</f>
        <v>2210.4100000038707</v>
      </c>
    </row>
    <row r="53" spans="1:12" ht="15.45" x14ac:dyDescent="0.4">
      <c r="A53" s="18" t="str">
        <f>CONCATENATE(A1," (Continued)")</f>
        <v>Occupation Table 3  Employment Change by Occupation in Occupation Group (SOC 2020), 2015-2035, England (Continued)</v>
      </c>
    </row>
    <row r="55" spans="1:12" x14ac:dyDescent="0.3">
      <c r="L55" s="15" t="s">
        <v>21</v>
      </c>
    </row>
    <row r="56" spans="1:12" x14ac:dyDescent="0.3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3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ht="12.9" x14ac:dyDescent="0.35">
      <c r="A59" s="29" t="str">
        <f>A7</f>
        <v>Managers, directors and senior officials</v>
      </c>
      <c r="B59" s="43">
        <f>IF(AND(C$5-B$5 &lt;&gt; 0,C7 &lt;&gt; 0,B7 &lt;&gt; 0),(EXP(LN(C7/B7)/(C$5-B$5))-1)*100,0)</f>
        <v>3.5190207570598764</v>
      </c>
      <c r="C59" s="43">
        <f>IF(AND(D$5-C$5 &lt;&gt; 0,D7 &lt;&gt; 0,C7 &lt;&gt; 0),(EXP(LN(D7/C7)/(D$5-C$5))-1)*100,0)</f>
        <v>1.7328513448925387</v>
      </c>
      <c r="D59" s="43">
        <f>IF(AND(E$5-D$5 &lt;&gt; 0,E7 &lt;&gt; 0,D7 &lt;&gt; 0),(EXP(LN(E7/D7)/(E$5-D$5))-1)*100,0)</f>
        <v>0.62113868499469316</v>
      </c>
      <c r="E59" s="43">
        <f>IF(AND(F$5-E$5 &lt;&gt; 0,F7 &lt;&gt; 0,E7 &lt;&gt; 0),(EXP(LN(F7/E7)/(F$5-E$5))-1)*100,0)</f>
        <v>1.1059505610190756</v>
      </c>
      <c r="F59" s="43">
        <f>IF(AND(F$5-D$5 &lt;&gt; 0,F7 &lt;&gt; 0,D7 &lt;&gt; 0),(EXP(LN(F7/D7)/(F$5-D$5))-1)*100,0)</f>
        <v>0.94408761033182298</v>
      </c>
      <c r="H59" s="43">
        <f>(B7/B$51)*100</f>
        <v>9.8511237530991309</v>
      </c>
      <c r="I59" s="43">
        <f>(C7/C$51)*100</f>
        <v>10.729862823488999</v>
      </c>
      <c r="J59" s="43">
        <f>(D7/D$51)*100</f>
        <v>11.044870388947297</v>
      </c>
      <c r="K59" s="43">
        <f>(E7/E$51)*100</f>
        <v>11.060627168533564</v>
      </c>
      <c r="L59" s="43">
        <f>(F7/F$51)*100</f>
        <v>11.840196230749029</v>
      </c>
    </row>
    <row r="60" spans="1:12" s="29" customFormat="1" ht="12.9" x14ac:dyDescent="0.35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4.3536019403848547</v>
      </c>
      <c r="C60" s="43">
        <f t="shared" si="32"/>
        <v>2.1496525971158587</v>
      </c>
      <c r="D60" s="43">
        <f t="shared" si="32"/>
        <v>-1.2214296335727015</v>
      </c>
      <c r="E60" s="43">
        <f t="shared" si="32"/>
        <v>0.90486599880952312</v>
      </c>
      <c r="F60" s="43">
        <f>IF(AND(F$5-D$5 &lt;&gt; 0,F8 &lt;&gt; 0,D8 &lt;&gt; 0),(EXP(LN(F8/D8)/(F$5-D$5))-1)*100,0)</f>
        <v>0.1910632416767255</v>
      </c>
      <c r="H60" s="43">
        <f t="shared" ref="H60:L60" si="33">(B8/B$51)*100</f>
        <v>6.6283578945122681</v>
      </c>
      <c r="I60" s="43">
        <f t="shared" si="33"/>
        <v>7.4552721299528448</v>
      </c>
      <c r="J60" s="43">
        <f t="shared" si="33"/>
        <v>7.7055852862232612</v>
      </c>
      <c r="K60" s="43">
        <f t="shared" si="33"/>
        <v>7.0354568522089416</v>
      </c>
      <c r="L60" s="43">
        <f t="shared" si="33"/>
        <v>7.382872773604805</v>
      </c>
    </row>
    <row r="61" spans="1:12" s="29" customFormat="1" ht="12.9" x14ac:dyDescent="0.35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1.7361090177420824</v>
      </c>
      <c r="C61" s="43">
        <f>IF(AND(D$5-C$5 &lt;&gt; 0,D9 &lt;&gt; 0,C9 &lt;&gt; 0),(EXP(LN(D9/C9)/(D$5-C$5))-1)*100,0)</f>
        <v>0.78391847045311547</v>
      </c>
      <c r="D61" s="43">
        <f t="shared" si="34"/>
        <v>4.421891096998154</v>
      </c>
      <c r="E61" s="43">
        <f t="shared" si="34"/>
        <v>1.4490047717514054</v>
      </c>
      <c r="F61" s="43">
        <f>IF(AND(F$5-D$5 &lt;&gt; 0,F9 &lt;&gt; 0,D9 &lt;&gt; 0),(EXP(LN(F9/D9)/(F$5-D$5))-1)*100,0)</f>
        <v>2.4304416563410314</v>
      </c>
      <c r="H61" s="43">
        <f t="shared" ref="H61:L61" si="35">(B9/B$51)*100</f>
        <v>3.2227658585868624</v>
      </c>
      <c r="I61" s="43">
        <f t="shared" si="35"/>
        <v>3.2745906935361528</v>
      </c>
      <c r="J61" s="43">
        <f t="shared" si="35"/>
        <v>3.3392851027240349</v>
      </c>
      <c r="K61" s="43">
        <f t="shared" si="35"/>
        <v>4.0251703163246235</v>
      </c>
      <c r="L61" s="43">
        <f t="shared" si="35"/>
        <v>4.4573234571442253</v>
      </c>
    </row>
    <row r="62" spans="1:12" ht="12.9" x14ac:dyDescent="0.35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ht="12.9" x14ac:dyDescent="0.35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3.3494011900128351</v>
      </c>
      <c r="C63" s="43">
        <f t="shared" si="36"/>
        <v>4.3985281392973308</v>
      </c>
      <c r="D63" s="43">
        <f t="shared" si="36"/>
        <v>1.5818151087557686</v>
      </c>
      <c r="E63" s="43">
        <f t="shared" si="36"/>
        <v>0.99741789990350771</v>
      </c>
      <c r="F63" s="43">
        <f>IF(AND(F$5-D$5 &lt;&gt; 0,F11 &lt;&gt; 0,D11 &lt;&gt; 0),(EXP(LN(F11/D11)/(F$5-D$5))-1)*100,0)</f>
        <v>1.1918424533805316</v>
      </c>
      <c r="H63" s="43">
        <f>(B11/B$51)*100</f>
        <v>20.635148972596944</v>
      </c>
      <c r="I63" s="43">
        <f>(C11/C$51)*100</f>
        <v>22.328895519861973</v>
      </c>
      <c r="J63" s="43">
        <f>(D11/D$51)*100</f>
        <v>23.586682144318715</v>
      </c>
      <c r="K63" s="43">
        <f>(E11/E$51)*100</f>
        <v>24.769639680516352</v>
      </c>
      <c r="L63" s="43">
        <f>(F11/F$51)*100</f>
        <v>26.232179601343482</v>
      </c>
    </row>
    <row r="64" spans="1:12" ht="12.9" x14ac:dyDescent="0.35">
      <c r="A64" t="str">
        <f>A12</f>
        <v>21 Science, research, engineering and technology professionals</v>
      </c>
      <c r="B64" s="48">
        <f t="shared" si="36"/>
        <v>3.5760901362786646</v>
      </c>
      <c r="C64" s="43">
        <f t="shared" si="36"/>
        <v>4.0962909095431543</v>
      </c>
      <c r="D64" s="48">
        <f t="shared" si="36"/>
        <v>1.2494392658252584</v>
      </c>
      <c r="E64" s="48">
        <f t="shared" si="36"/>
        <v>1.0424387508099597</v>
      </c>
      <c r="F64" s="43">
        <f>IF(AND(F$5-D$5 &lt;&gt; 0,F12 &lt;&gt; 0,D12 &lt;&gt; 0),(EXP(LN(F12/D12)/(F$5-D$5))-1)*100,0)</f>
        <v>1.1113918569869208</v>
      </c>
      <c r="H64" s="39">
        <f t="shared" ref="H64:L67" si="37">(B12/B$11)*100</f>
        <v>26.80559022259466</v>
      </c>
      <c r="I64" s="39">
        <f t="shared" si="37"/>
        <v>27.041549126502801</v>
      </c>
      <c r="J64" s="39">
        <f t="shared" si="37"/>
        <v>26.963262937588805</v>
      </c>
      <c r="K64" s="39">
        <f t="shared" si="37"/>
        <v>26.525021020277162</v>
      </c>
      <c r="L64" s="39">
        <f t="shared" si="37"/>
        <v>26.643497049828358</v>
      </c>
    </row>
    <row r="65" spans="1:12" ht="12.9" x14ac:dyDescent="0.35">
      <c r="A65" t="str">
        <f>A13</f>
        <v>22 Health professionals</v>
      </c>
      <c r="B65" s="48">
        <f t="shared" si="36"/>
        <v>3.7438975318865308</v>
      </c>
      <c r="C65" s="43">
        <f t="shared" si="36"/>
        <v>-6.7814741326976957E-2</v>
      </c>
      <c r="D65" s="48">
        <f t="shared" si="36"/>
        <v>1.5223580087573296</v>
      </c>
      <c r="E65" s="48">
        <f t="shared" si="36"/>
        <v>0.84691487226054019</v>
      </c>
      <c r="F65" s="43">
        <f>IF(AND(F$5-D$5 &lt;&gt; 0,F13 &lt;&gt; 0,D13 &lt;&gt; 0),(EXP(LN(F13/D13)/(F$5-D$5))-1)*100,0)</f>
        <v>1.0715617886405404</v>
      </c>
      <c r="H65" s="39">
        <f t="shared" si="37"/>
        <v>19.776671880365772</v>
      </c>
      <c r="I65" s="39">
        <f t="shared" si="37"/>
        <v>20.080364367187524</v>
      </c>
      <c r="J65" s="39">
        <f t="shared" si="37"/>
        <v>19.221292941275621</v>
      </c>
      <c r="K65" s="39">
        <f t="shared" si="37"/>
        <v>19.165106443798695</v>
      </c>
      <c r="L65" s="39">
        <f t="shared" si="37"/>
        <v>18.881421855511235</v>
      </c>
    </row>
    <row r="66" spans="1:12" ht="12.9" x14ac:dyDescent="0.35">
      <c r="A66" t="str">
        <f>A14</f>
        <v>23 Teaching and other educational professionals</v>
      </c>
      <c r="B66" s="48">
        <f t="shared" si="36"/>
        <v>1.4284346015154714</v>
      </c>
      <c r="C66" s="43">
        <f t="shared" si="36"/>
        <v>4.1121363970319624</v>
      </c>
      <c r="D66" s="48">
        <f t="shared" si="36"/>
        <v>0.80361191242976915</v>
      </c>
      <c r="E66" s="48">
        <f t="shared" si="36"/>
        <v>0.84775524601012897</v>
      </c>
      <c r="F66" s="43">
        <f>IF(AND(F$5-D$5 &lt;&gt; 0,F14 &lt;&gt; 0,D14 &lt;&gt; 0),(EXP(LN(F14/D14)/(F$5-D$5))-1)*100,0)</f>
        <v>0.83303865401318511</v>
      </c>
      <c r="H66" s="39">
        <f t="shared" si="37"/>
        <v>23.028801709383014</v>
      </c>
      <c r="I66" s="39">
        <f t="shared" si="37"/>
        <v>21.363793576820303</v>
      </c>
      <c r="J66" s="39">
        <f t="shared" si="37"/>
        <v>21.305187251875761</v>
      </c>
      <c r="K66" s="39">
        <f t="shared" si="37"/>
        <v>20.501516180717118</v>
      </c>
      <c r="L66" s="39">
        <f t="shared" si="37"/>
        <v>20.199733067910756</v>
      </c>
    </row>
    <row r="67" spans="1:12" ht="12.9" x14ac:dyDescent="0.35">
      <c r="A67" t="str">
        <f>A15</f>
        <v>24 Business, media and public service professionals</v>
      </c>
      <c r="B67" s="48">
        <f t="shared" si="36"/>
        <v>4.2931974148121332</v>
      </c>
      <c r="C67" s="43">
        <f t="shared" si="36"/>
        <v>7.6978935930769987</v>
      </c>
      <c r="D67" s="48">
        <f t="shared" si="36"/>
        <v>2.3803712424203205</v>
      </c>
      <c r="E67" s="48">
        <f t="shared" si="36"/>
        <v>1.1360650541712092</v>
      </c>
      <c r="F67" s="43">
        <f>IF(AND(F$5-D$5 &lt;&gt; 0,F15 &lt;&gt; 0,D15 &lt;&gt; 0),(EXP(LN(F15/D15)/(F$5-D$5))-1)*100,0)</f>
        <v>1.5491443092783719</v>
      </c>
      <c r="H67" s="39">
        <f t="shared" si="37"/>
        <v>30.388936187656551</v>
      </c>
      <c r="I67" s="39">
        <f t="shared" si="37"/>
        <v>31.514292929489368</v>
      </c>
      <c r="J67" s="39">
        <f t="shared" si="37"/>
        <v>32.510256869259813</v>
      </c>
      <c r="K67" s="39">
        <f t="shared" si="37"/>
        <v>33.808356355207017</v>
      </c>
      <c r="L67" s="39">
        <f t="shared" si="37"/>
        <v>34.27534802674964</v>
      </c>
    </row>
    <row r="68" spans="1:12" ht="12.9" x14ac:dyDescent="0.35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ht="12.9" x14ac:dyDescent="0.35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1.9385731310823884</v>
      </c>
      <c r="C69" s="43">
        <f t="shared" si="39"/>
        <v>4.6904215134797811</v>
      </c>
      <c r="D69" s="43">
        <f t="shared" si="39"/>
        <v>-0.32537659954304798</v>
      </c>
      <c r="E69" s="43">
        <f t="shared" si="39"/>
        <v>0.73105646436368854</v>
      </c>
      <c r="F69" s="43">
        <f t="shared" ref="F69:F74" si="40">IF(AND(F$5-D$5 &lt;&gt; 0,F17 &lt;&gt; 0,D17 &lt;&gt; 0),(EXP(LN(F17/D17)/(F$5-D$5))-1)*100,0)</f>
        <v>0.37767382971936048</v>
      </c>
      <c r="H69" s="43">
        <f>(B17/B$51)*100</f>
        <v>12.817758294401587</v>
      </c>
      <c r="I69" s="43">
        <f>(C17/C$51)*100</f>
        <v>13.12786353437046</v>
      </c>
      <c r="J69" s="43">
        <f>(D17/D$51)*100</f>
        <v>13.906128527136863</v>
      </c>
      <c r="K69" s="43">
        <f>(E17/E$51)*100</f>
        <v>13.283185791493418</v>
      </c>
      <c r="L69" s="43">
        <f>(F17/F$51)*100</f>
        <v>13.700869071953866</v>
      </c>
    </row>
    <row r="70" spans="1:12" ht="12.9" x14ac:dyDescent="0.35">
      <c r="A70" t="str">
        <f t="shared" si="38"/>
        <v>31 Science, engineering and technology associate professionals</v>
      </c>
      <c r="B70" s="48">
        <f t="shared" si="39"/>
        <v>4.1842679848152597</v>
      </c>
      <c r="C70" s="43">
        <f t="shared" si="39"/>
        <v>8.4069709383173929</v>
      </c>
      <c r="D70" s="48">
        <f t="shared" si="39"/>
        <v>-2.3895461627081227</v>
      </c>
      <c r="E70" s="48">
        <f t="shared" si="39"/>
        <v>0.685808359493012</v>
      </c>
      <c r="F70" s="43">
        <f t="shared" si="40"/>
        <v>-0.34992770423570851</v>
      </c>
      <c r="H70" s="39">
        <f t="shared" ref="H70:L74" si="41">(B18/B$17)*100</f>
        <v>12.612926646621625</v>
      </c>
      <c r="I70" s="39">
        <f t="shared" si="41"/>
        <v>13.76164173146087</v>
      </c>
      <c r="J70" s="39">
        <f t="shared" si="41"/>
        <v>14.250185200122868</v>
      </c>
      <c r="K70" s="39">
        <f t="shared" si="41"/>
        <v>12.834505826580514</v>
      </c>
      <c r="L70" s="39">
        <f t="shared" si="41"/>
        <v>12.776969988427906</v>
      </c>
    </row>
    <row r="71" spans="1:12" ht="12.9" x14ac:dyDescent="0.35">
      <c r="A71" t="str">
        <f t="shared" si="38"/>
        <v>32 Health and social care associate professionals</v>
      </c>
      <c r="B71" s="48">
        <f t="shared" si="39"/>
        <v>3.0438624675322989</v>
      </c>
      <c r="C71" s="43">
        <f t="shared" si="39"/>
        <v>2.3279854135191291</v>
      </c>
      <c r="D71" s="48">
        <f t="shared" si="39"/>
        <v>0.29583622618363226</v>
      </c>
      <c r="E71" s="48">
        <f t="shared" si="39"/>
        <v>0.91105618545679334</v>
      </c>
      <c r="F71" s="43">
        <f t="shared" si="40"/>
        <v>0.70556469457463411</v>
      </c>
      <c r="H71" s="39">
        <f t="shared" si="41"/>
        <v>13.422037430118269</v>
      </c>
      <c r="I71" s="39">
        <f t="shared" si="41"/>
        <v>14.01369823900292</v>
      </c>
      <c r="J71" s="39">
        <f t="shared" si="41"/>
        <v>13.697466188972317</v>
      </c>
      <c r="K71" s="39">
        <f t="shared" si="41"/>
        <v>14.12966086899484</v>
      </c>
      <c r="L71" s="39">
        <f t="shared" si="41"/>
        <v>14.384188552444913</v>
      </c>
    </row>
    <row r="72" spans="1:12" ht="12.9" x14ac:dyDescent="0.35">
      <c r="A72" t="str">
        <f t="shared" si="38"/>
        <v>33 Protective service occupations</v>
      </c>
      <c r="B72" s="48">
        <f t="shared" si="39"/>
        <v>0.69754488714577345</v>
      </c>
      <c r="C72" s="43">
        <f t="shared" si="39"/>
        <v>6.2267524312202394</v>
      </c>
      <c r="D72" s="48">
        <f t="shared" si="39"/>
        <v>3.5934289721214263</v>
      </c>
      <c r="E72" s="48">
        <f t="shared" si="39"/>
        <v>1.4252626972135252</v>
      </c>
      <c r="F72" s="43">
        <f t="shared" si="40"/>
        <v>2.1428952180943206</v>
      </c>
      <c r="H72" s="39">
        <f t="shared" si="41"/>
        <v>8.0187056472422018</v>
      </c>
      <c r="I72" s="39">
        <f t="shared" si="41"/>
        <v>7.6352910879037141</v>
      </c>
      <c r="J72" s="39">
        <f t="shared" si="41"/>
        <v>7.7473389103760324</v>
      </c>
      <c r="K72" s="39">
        <f t="shared" si="41"/>
        <v>9.3948657907965885</v>
      </c>
      <c r="L72" s="39">
        <f t="shared" si="41"/>
        <v>10.062782926981589</v>
      </c>
    </row>
    <row r="73" spans="1:12" ht="12.9" x14ac:dyDescent="0.35">
      <c r="A73" t="str">
        <f t="shared" si="38"/>
        <v>34 Culture, media and sports occupations</v>
      </c>
      <c r="B73" s="48">
        <f t="shared" si="39"/>
        <v>3.3668960068844456E-4</v>
      </c>
      <c r="C73" s="43">
        <f t="shared" si="39"/>
        <v>8.1763411640362271</v>
      </c>
      <c r="D73" s="48">
        <f t="shared" si="39"/>
        <v>-0.14702181290581207</v>
      </c>
      <c r="E73" s="48">
        <f t="shared" si="39"/>
        <v>1.0306991698010748</v>
      </c>
      <c r="F73" s="43">
        <f t="shared" si="40"/>
        <v>0.63659013431613953</v>
      </c>
      <c r="H73" s="39">
        <f t="shared" si="41"/>
        <v>17.080217294973345</v>
      </c>
      <c r="I73" s="39">
        <f t="shared" si="41"/>
        <v>15.817762086520387</v>
      </c>
      <c r="J73" s="39">
        <f t="shared" si="41"/>
        <v>16.344452560090868</v>
      </c>
      <c r="K73" s="39">
        <f t="shared" si="41"/>
        <v>16.491208191532188</v>
      </c>
      <c r="L73" s="39">
        <f t="shared" si="41"/>
        <v>16.988387978112286</v>
      </c>
    </row>
    <row r="74" spans="1:12" ht="12.9" x14ac:dyDescent="0.35">
      <c r="A74" t="str">
        <f t="shared" si="38"/>
        <v>35 Business and public service associate professionals</v>
      </c>
      <c r="B74" s="48">
        <f t="shared" si="39"/>
        <v>1.8892505341293386</v>
      </c>
      <c r="C74" s="43">
        <f t="shared" si="39"/>
        <v>2.9494672580690384</v>
      </c>
      <c r="D74" s="48">
        <f t="shared" si="39"/>
        <v>-0.66468905090083519</v>
      </c>
      <c r="E74" s="48">
        <f t="shared" si="39"/>
        <v>0.43620530143464453</v>
      </c>
      <c r="F74" s="43">
        <f t="shared" si="40"/>
        <v>6.7891509494089064E-2</v>
      </c>
      <c r="H74" s="39">
        <f t="shared" si="41"/>
        <v>48.866112981044552</v>
      </c>
      <c r="I74" s="39">
        <f t="shared" si="41"/>
        <v>48.771606855112097</v>
      </c>
      <c r="J74" s="39">
        <f t="shared" si="41"/>
        <v>47.960557140437913</v>
      </c>
      <c r="K74" s="39">
        <f t="shared" si="41"/>
        <v>47.149759322095882</v>
      </c>
      <c r="L74" s="39">
        <f t="shared" si="41"/>
        <v>45.787670554033319</v>
      </c>
    </row>
    <row r="75" spans="1:12" ht="12.9" x14ac:dyDescent="0.35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ht="12.9" x14ac:dyDescent="0.35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-0.71072665521220157</v>
      </c>
      <c r="C76" s="43">
        <f t="shared" si="42"/>
        <v>2.8136667402050231</v>
      </c>
      <c r="D76" s="43">
        <f t="shared" si="42"/>
        <v>-1.1581381770278121</v>
      </c>
      <c r="E76" s="43">
        <f t="shared" si="42"/>
        <v>-0.87155637224691773</v>
      </c>
      <c r="F76" s="43">
        <f>IF(AND(F$5-D$5 &lt;&gt; 0,F24 &lt;&gt; 0,D24 &lt;&gt; 0),(EXP(LN(F24/D24)/(F$5-D$5))-1)*100,0)</f>
        <v>-0.96717584556493819</v>
      </c>
      <c r="H76" s="43">
        <f>(B24/B$51)*100</f>
        <v>10.990629734659034</v>
      </c>
      <c r="I76" s="43">
        <f>(C24/C$51)*100</f>
        <v>10.131171816117686</v>
      </c>
      <c r="J76" s="43">
        <f>(D24/D$51)*100</f>
        <v>10.53939704739448</v>
      </c>
      <c r="K76" s="43">
        <f>(E24/E$51)*100</f>
        <v>9.6536898855905058</v>
      </c>
      <c r="L76" s="43">
        <f>(F24/F$51)*100</f>
        <v>8.481803360281976</v>
      </c>
    </row>
    <row r="77" spans="1:12" ht="12.9" x14ac:dyDescent="0.35">
      <c r="A77" t="str">
        <f>A25</f>
        <v>41 Administrative occupations</v>
      </c>
      <c r="B77" s="48">
        <f t="shared" si="42"/>
        <v>-0.36783423931791015</v>
      </c>
      <c r="C77" s="43">
        <f t="shared" si="42"/>
        <v>4.1172064255075025</v>
      </c>
      <c r="D77" s="48">
        <f t="shared" si="42"/>
        <v>-1.6218417267986118</v>
      </c>
      <c r="E77" s="48">
        <f t="shared" si="42"/>
        <v>-0.54267027663513767</v>
      </c>
      <c r="F77" s="43">
        <f>IF(AND(F$5-D$5 &lt;&gt; 0,F25 &lt;&gt; 0,D25 &lt;&gt; 0),(EXP(LN(F25/D25)/(F$5-D$5))-1)*100,0)</f>
        <v>-0.90370306633366093</v>
      </c>
      <c r="H77" s="39">
        <f t="shared" ref="H77:L78" si="43">(B25/B$24)*100</f>
        <v>79.6734250022797</v>
      </c>
      <c r="I77" s="39">
        <f t="shared" si="43"/>
        <v>80.779738241417618</v>
      </c>
      <c r="J77" s="39">
        <f t="shared" si="43"/>
        <v>81.803917204240832</v>
      </c>
      <c r="K77" s="39">
        <f t="shared" si="43"/>
        <v>79.902975701924589</v>
      </c>
      <c r="L77" s="39">
        <f t="shared" si="43"/>
        <v>82.593910137748026</v>
      </c>
    </row>
    <row r="78" spans="1:12" ht="12.9" x14ac:dyDescent="0.35">
      <c r="A78" t="str">
        <f>A26</f>
        <v>42 Secretarial and related occupations</v>
      </c>
      <c r="B78" s="48">
        <f t="shared" si="42"/>
        <v>-2.0902131502126053</v>
      </c>
      <c r="C78" s="43">
        <f t="shared" si="42"/>
        <v>-2.6649056064497745</v>
      </c>
      <c r="D78" s="48">
        <f t="shared" si="42"/>
        <v>0.82580264915248502</v>
      </c>
      <c r="E78" s="48">
        <f t="shared" si="42"/>
        <v>-2.2863505186662358</v>
      </c>
      <c r="F78" s="43">
        <f>IF(AND(F$5-D$5 &lt;&gt; 0,F26 &lt;&gt; 0,D26 &lt;&gt; 0),(EXP(LN(F26/D26)/(F$5-D$5))-1)*100,0)</f>
        <v>-1.2597887675764419</v>
      </c>
      <c r="H78" s="39">
        <f t="shared" si="43"/>
        <v>20.326574997720297</v>
      </c>
      <c r="I78" s="39">
        <f t="shared" si="43"/>
        <v>19.220261758582385</v>
      </c>
      <c r="J78" s="39">
        <f t="shared" si="43"/>
        <v>18.196082795759157</v>
      </c>
      <c r="K78" s="39">
        <f t="shared" si="43"/>
        <v>20.097024298075414</v>
      </c>
      <c r="L78" s="39">
        <f t="shared" si="43"/>
        <v>17.406089862251982</v>
      </c>
    </row>
    <row r="79" spans="1:12" ht="12.9" x14ac:dyDescent="0.35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ht="12.9" x14ac:dyDescent="0.35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-0.33842398706971366</v>
      </c>
      <c r="C80" s="43">
        <f t="shared" si="44"/>
        <v>-11.943897021588501</v>
      </c>
      <c r="D80" s="43">
        <f t="shared" si="44"/>
        <v>0.34780721060678754</v>
      </c>
      <c r="E80" s="43">
        <f t="shared" si="44"/>
        <v>-0.23782196703310277</v>
      </c>
      <c r="F80" s="43">
        <f>IF(AND(F$5-D$5 &lt;&gt; 0,F28 &lt;&gt; 0,D28 &lt;&gt; 0),(EXP(LN(F28/D28)/(F$5-D$5))-1)*100,0)</f>
        <v>-4.2992977080535955E-2</v>
      </c>
      <c r="H80" s="43">
        <f>(B28/B$51)*100</f>
        <v>10.084008974764554</v>
      </c>
      <c r="I80" s="43">
        <f>(C28/C$51)*100</f>
        <v>9.4356538576228957</v>
      </c>
      <c r="J80" s="43">
        <f>(D28/D$51)*100</f>
        <v>8.4069158260457506</v>
      </c>
      <c r="K80" s="43">
        <f>(E28/E$51)*100</f>
        <v>8.3051814222844058</v>
      </c>
      <c r="L80" s="43">
        <f>(F28/F$51)*100</f>
        <v>7.77714733191769</v>
      </c>
    </row>
    <row r="81" spans="1:12" ht="12.9" x14ac:dyDescent="0.35">
      <c r="A81" t="str">
        <f>A29</f>
        <v>51 Skilled agricultural and related trades</v>
      </c>
      <c r="B81" s="48">
        <f t="shared" si="44"/>
        <v>0.28564994759778806</v>
      </c>
      <c r="C81" s="43">
        <f t="shared" si="44"/>
        <v>-10.265627349225282</v>
      </c>
      <c r="D81" s="48">
        <f t="shared" si="44"/>
        <v>0.49939400908618481</v>
      </c>
      <c r="E81" s="48">
        <f t="shared" si="44"/>
        <v>1.070913638935278</v>
      </c>
      <c r="F81" s="43">
        <f>IF(AND(F$5-D$5 &lt;&gt; 0,F29 &lt;&gt; 0,D29 &lt;&gt; 0),(EXP(LN(F29/D29)/(F$5-D$5))-1)*100,0)</f>
        <v>0.8800468813655149</v>
      </c>
      <c r="H81" s="39">
        <f t="shared" ref="H81:L84" si="45">(B29/B$28)*100</f>
        <v>10.341543459093828</v>
      </c>
      <c r="I81" s="39">
        <f t="shared" si="45"/>
        <v>10.603018829795987</v>
      </c>
      <c r="J81" s="39">
        <f t="shared" si="45"/>
        <v>10.80510277782064</v>
      </c>
      <c r="K81" s="39">
        <f t="shared" si="45"/>
        <v>10.886961413608418</v>
      </c>
      <c r="L81" s="39">
        <f t="shared" si="45"/>
        <v>12.402504042304241</v>
      </c>
    </row>
    <row r="82" spans="1:12" ht="12.9" x14ac:dyDescent="0.35">
      <c r="A82" t="str">
        <f>A30</f>
        <v>52 Skilled metal, electrical and electronic trades</v>
      </c>
      <c r="B82" s="48">
        <f t="shared" si="44"/>
        <v>0.52426124684463726</v>
      </c>
      <c r="C82" s="43">
        <f t="shared" si="44"/>
        <v>-12.951586906941159</v>
      </c>
      <c r="D82" s="48">
        <f t="shared" si="44"/>
        <v>-9.9550673246262544E-2</v>
      </c>
      <c r="E82" s="48">
        <f t="shared" si="44"/>
        <v>-0.54564232150866587</v>
      </c>
      <c r="F82" s="43">
        <f>IF(AND(F$5-D$5 &lt;&gt; 0,F30 &lt;&gt; 0,D30 &lt;&gt; 0),(EXP(LN(F30/D30)/(F$5-D$5))-1)*100,0)</f>
        <v>-0.39716687477455714</v>
      </c>
      <c r="H82" s="39">
        <f t="shared" si="45"/>
        <v>36.064668560498809</v>
      </c>
      <c r="I82" s="39">
        <f t="shared" si="45"/>
        <v>37.329700303093297</v>
      </c>
      <c r="J82" s="39">
        <f t="shared" si="45"/>
        <v>36.902509453778791</v>
      </c>
      <c r="K82" s="39">
        <f t="shared" si="45"/>
        <v>36.087240521808944</v>
      </c>
      <c r="L82" s="39">
        <f t="shared" si="45"/>
        <v>34.98908785558487</v>
      </c>
    </row>
    <row r="83" spans="1:12" ht="12.9" x14ac:dyDescent="0.35">
      <c r="A83" t="str">
        <f>A31</f>
        <v>53 Skilled construction and building trades</v>
      </c>
      <c r="B83" s="48">
        <f t="shared" si="44"/>
        <v>-0.29616148678105469</v>
      </c>
      <c r="C83" s="43">
        <f t="shared" si="44"/>
        <v>-15.409374358041173</v>
      </c>
      <c r="D83" s="48">
        <f t="shared" si="44"/>
        <v>1.0590375306029465</v>
      </c>
      <c r="E83" s="48">
        <f t="shared" si="44"/>
        <v>-0.58178625043422416</v>
      </c>
      <c r="F83" s="43">
        <f>IF(AND(F$5-D$5 &lt;&gt; 0,F31 &lt;&gt; 0,D31 &lt;&gt; 0),(EXP(LN(F31/D31)/(F$5-D$5))-1)*100,0)</f>
        <v>-3.7826653931716248E-2</v>
      </c>
      <c r="H83" s="39">
        <f t="shared" si="45"/>
        <v>31.775955374969151</v>
      </c>
      <c r="I83" s="39">
        <f t="shared" si="45"/>
        <v>31.82988933202353</v>
      </c>
      <c r="J83" s="39">
        <f t="shared" si="45"/>
        <v>30.577213408709419</v>
      </c>
      <c r="K83" s="39">
        <f t="shared" si="45"/>
        <v>31.676286282635839</v>
      </c>
      <c r="L83" s="39">
        <f t="shared" si="45"/>
        <v>30.600927944117895</v>
      </c>
    </row>
    <row r="84" spans="1:12" ht="12.9" x14ac:dyDescent="0.35">
      <c r="A84" t="str">
        <f>A32</f>
        <v>54 Textiles, printing and other skilled trades</v>
      </c>
      <c r="B84" s="48">
        <f t="shared" si="44"/>
        <v>-2.1944537784958973</v>
      </c>
      <c r="C84" s="43">
        <f t="shared" si="44"/>
        <v>-5.5138293739155353</v>
      </c>
      <c r="D84" s="48">
        <f t="shared" si="44"/>
        <v>7.5555784523118064E-3</v>
      </c>
      <c r="E84" s="48">
        <f t="shared" si="44"/>
        <v>6.5451504447300302E-2</v>
      </c>
      <c r="F84" s="43">
        <f>IF(AND(F$5-D$5 &lt;&gt; 0,F32 &lt;&gt; 0,D32 &lt;&gt; 0),(EXP(LN(F32/D32)/(F$5-D$5))-1)*100,0)</f>
        <v>4.6149139312401388E-2</v>
      </c>
      <c r="H84" s="39">
        <f t="shared" si="45"/>
        <v>21.817832605438227</v>
      </c>
      <c r="I84" s="39">
        <f t="shared" si="45"/>
        <v>20.237391535087184</v>
      </c>
      <c r="J84" s="39">
        <f t="shared" si="45"/>
        <v>21.715174359691154</v>
      </c>
      <c r="K84" s="39">
        <f t="shared" si="45"/>
        <v>21.349511781946799</v>
      </c>
      <c r="L84" s="39">
        <f t="shared" si="45"/>
        <v>22.007480157992983</v>
      </c>
    </row>
    <row r="85" spans="1:12" ht="12.9" x14ac:dyDescent="0.35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ht="12.9" x14ac:dyDescent="0.35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0.99473791618001073</v>
      </c>
      <c r="C86" s="43">
        <f t="shared" si="46"/>
        <v>-3.9993992491383912</v>
      </c>
      <c r="D86" s="43">
        <f t="shared" si="46"/>
        <v>1.3547671375529591</v>
      </c>
      <c r="E86" s="43">
        <f t="shared" si="46"/>
        <v>0.78747631651701067</v>
      </c>
      <c r="F86" s="43">
        <f>IF(AND(F$5-D$5 &lt;&gt; 0,F34 &lt;&gt; 0,D34 &lt;&gt; 0),(EXP(LN(F34/D34)/(F$5-D$5))-1)*100,0)</f>
        <v>0.9762195794202011</v>
      </c>
      <c r="H86" s="43">
        <f>(B34/B$51)*100</f>
        <v>9.3748632768063924</v>
      </c>
      <c r="I86" s="43">
        <f>(C34/C$51)*100</f>
        <v>9.2509791724131372</v>
      </c>
      <c r="J86" s="43">
        <f>(D34/D$51)*100</f>
        <v>8.9860098654564826</v>
      </c>
      <c r="K86" s="43">
        <f>(E34/E$51)*100</f>
        <v>9.3317003106778706</v>
      </c>
      <c r="L86" s="43">
        <f>(F34/F$51)*100</f>
        <v>9.6791778755125097</v>
      </c>
    </row>
    <row r="87" spans="1:12" ht="12.9" x14ac:dyDescent="0.35">
      <c r="A87" t="str">
        <f>A35</f>
        <v>61 Caring personal service occupations</v>
      </c>
      <c r="B87" s="48">
        <f t="shared" si="46"/>
        <v>0.72545700366948296</v>
      </c>
      <c r="C87" s="43">
        <f t="shared" si="46"/>
        <v>-3.0539134386224354</v>
      </c>
      <c r="D87" s="48">
        <f t="shared" si="46"/>
        <v>1.7109478762954877</v>
      </c>
      <c r="E87" s="48">
        <f t="shared" si="46"/>
        <v>0.90920718547691237</v>
      </c>
      <c r="F87" s="43">
        <f>IF(AND(F$5-D$5 &lt;&gt; 0,F35 &lt;&gt; 0,D35 &lt;&gt; 0),(EXP(LN(F35/D35)/(F$5-D$5))-1)*100,0)</f>
        <v>1.175749416158367</v>
      </c>
      <c r="H87" s="39">
        <f t="shared" ref="H87:L89" si="47">(B35/B$34)*100</f>
        <v>75.572835929443542</v>
      </c>
      <c r="I87" s="39">
        <f t="shared" si="47"/>
        <v>74.770058377740497</v>
      </c>
      <c r="J87" s="39">
        <f t="shared" si="47"/>
        <v>75.506449907529642</v>
      </c>
      <c r="K87" s="39">
        <f t="shared" si="47"/>
        <v>76.842530616468139</v>
      </c>
      <c r="L87" s="39">
        <f t="shared" si="47"/>
        <v>77.775693433124331</v>
      </c>
    </row>
    <row r="88" spans="1:12" ht="12.9" x14ac:dyDescent="0.35">
      <c r="A88" t="str">
        <f>A36</f>
        <v>62 Leisure, travel and related personal service occupations</v>
      </c>
      <c r="B88" s="48">
        <f t="shared" si="46"/>
        <v>2.0445949149226594</v>
      </c>
      <c r="C88" s="43">
        <f t="shared" si="46"/>
        <v>-8.0595063406408869</v>
      </c>
      <c r="D88" s="48">
        <f t="shared" si="46"/>
        <v>0.42388787472349421</v>
      </c>
      <c r="E88" s="48">
        <f t="shared" si="46"/>
        <v>0.35756597362124332</v>
      </c>
      <c r="F88" s="43">
        <f>IF(AND(F$5-D$5 &lt;&gt; 0,F36 &lt;&gt; 0,D36 &lt;&gt; 0),(EXP(LN(F36/D36)/(F$5-D$5))-1)*100,0)</f>
        <v>0.37966840586167727</v>
      </c>
      <c r="H88" s="39">
        <f t="shared" si="47"/>
        <v>23.353630769847204</v>
      </c>
      <c r="I88" s="39">
        <f t="shared" si="47"/>
        <v>24.33993687164331</v>
      </c>
      <c r="J88" s="39">
        <f t="shared" si="47"/>
        <v>23.310539664476408</v>
      </c>
      <c r="K88" s="39">
        <f t="shared" si="47"/>
        <v>22.259560317329303</v>
      </c>
      <c r="L88" s="39">
        <f t="shared" si="47"/>
        <v>21.328095172491427</v>
      </c>
    </row>
    <row r="89" spans="1:12" ht="12.9" x14ac:dyDescent="0.35">
      <c r="A89" t="str">
        <f>A37</f>
        <v>63 Community and civil enforcement occupations</v>
      </c>
      <c r="B89" s="48">
        <f t="shared" si="46"/>
        <v>-3.6297584463488852</v>
      </c>
      <c r="C89" s="43">
        <f t="shared" si="46"/>
        <v>27.605736602332076</v>
      </c>
      <c r="D89" s="48">
        <f t="shared" si="46"/>
        <v>-4.0835852486562185</v>
      </c>
      <c r="E89" s="48">
        <f t="shared" si="46"/>
        <v>0.76840425046160732</v>
      </c>
      <c r="F89" s="43">
        <f>IF(AND(F$5-D$5 &lt;&gt; 0,F37 &lt;&gt; 0,D37 &lt;&gt; 0),(EXP(LN(F37/D37)/(F$5-D$5))-1)*100,0)</f>
        <v>-0.87560116228070362</v>
      </c>
      <c r="H89" s="39">
        <f t="shared" si="47"/>
        <v>1.073533300709258</v>
      </c>
      <c r="I89" s="39">
        <f t="shared" si="47"/>
        <v>0.89000475061619033</v>
      </c>
      <c r="J89" s="39">
        <f t="shared" si="47"/>
        <v>1.1830104279939575</v>
      </c>
      <c r="K89" s="39">
        <f t="shared" si="47"/>
        <v>0.89790906620255562</v>
      </c>
      <c r="L89" s="39">
        <f t="shared" si="47"/>
        <v>0.89621139438424913</v>
      </c>
    </row>
    <row r="90" spans="1:12" ht="12.9" x14ac:dyDescent="0.35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ht="12.9" x14ac:dyDescent="0.35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-0.62429280438084378</v>
      </c>
      <c r="C91" s="43">
        <f t="shared" si="48"/>
        <v>-1.201508008204899</v>
      </c>
      <c r="D91" s="43">
        <f t="shared" si="48"/>
        <v>0.14188478245167335</v>
      </c>
      <c r="E91" s="43">
        <f t="shared" si="48"/>
        <v>4.0509747269279472E-2</v>
      </c>
      <c r="F91" s="43">
        <f t="shared" ref="F91:F103" si="49">IF(AND(F$5-D$5 &lt;&gt; 0,F39 &lt;&gt; 0,D39 &lt;&gt; 0),(EXP(LN(F39/D39)/(F$5-D$5))-1)*100,0)</f>
        <v>7.4290017933420494E-2</v>
      </c>
      <c r="H91" s="43">
        <f>(B39/B$51)*100</f>
        <v>8.5556251486458788</v>
      </c>
      <c r="I91" s="43">
        <f>(C39/C$51)*100</f>
        <v>7.9140802894419844</v>
      </c>
      <c r="J91" s="43">
        <f>(D39/D$51)*100</f>
        <v>7.9114484901403879</v>
      </c>
      <c r="K91" s="43">
        <f>(E39/E$51)*100</f>
        <v>7.7358457405174903</v>
      </c>
      <c r="L91" s="43">
        <f>(F39/F$51)*100</f>
        <v>7.4486701231952832</v>
      </c>
    </row>
    <row r="92" spans="1:12" s="29" customFormat="1" ht="12.9" x14ac:dyDescent="0.35">
      <c r="A92" s="10" t="str">
        <f>A40</f>
        <v>71 Sales occupations</v>
      </c>
      <c r="B92" s="48">
        <f t="shared" si="48"/>
        <v>-1.277797360291788</v>
      </c>
      <c r="C92" s="43">
        <f t="shared" si="48"/>
        <v>-2.1100081351413946</v>
      </c>
      <c r="D92" s="48">
        <f t="shared" si="48"/>
        <v>-1.4428102285699684</v>
      </c>
      <c r="E92" s="48">
        <f t="shared" si="48"/>
        <v>-0.49647726486444776</v>
      </c>
      <c r="F92" s="43">
        <f t="shared" si="49"/>
        <v>-0.81292691960828112</v>
      </c>
      <c r="G92"/>
      <c r="H92" s="39">
        <f t="shared" ref="H92:L93" si="50">(B40/B$34)*100</f>
        <v>74.153584033112068</v>
      </c>
      <c r="I92" s="39">
        <f t="shared" si="50"/>
        <v>67.701221821320132</v>
      </c>
      <c r="J92" s="39">
        <f t="shared" si="50"/>
        <v>69.033651888585041</v>
      </c>
      <c r="K92" s="39">
        <f t="shared" si="50"/>
        <v>60.017998119197621</v>
      </c>
      <c r="L92" s="39">
        <f t="shared" si="50"/>
        <v>52.795919986124339</v>
      </c>
    </row>
    <row r="93" spans="1:12" s="29" customFormat="1" ht="12.9" x14ac:dyDescent="0.35">
      <c r="A93" t="str">
        <f>A41</f>
        <v>72 Customer service occupations</v>
      </c>
      <c r="B93" s="48">
        <f t="shared" si="48"/>
        <v>2.0690210771044049</v>
      </c>
      <c r="C93" s="43">
        <f t="shared" si="48"/>
        <v>2.2447503300301541</v>
      </c>
      <c r="D93" s="48">
        <f t="shared" si="48"/>
        <v>5.183929811985144</v>
      </c>
      <c r="E93" s="48">
        <f t="shared" si="48"/>
        <v>1.3372283655368022</v>
      </c>
      <c r="F93" s="43">
        <f t="shared" si="49"/>
        <v>2.6035716235012663</v>
      </c>
      <c r="G93"/>
      <c r="H93" s="39">
        <f t="shared" si="50"/>
        <v>17.107748490133083</v>
      </c>
      <c r="I93" s="39">
        <f t="shared" si="50"/>
        <v>17.847347059281709</v>
      </c>
      <c r="J93" s="39">
        <f t="shared" si="50"/>
        <v>19.008188801498505</v>
      </c>
      <c r="K93" s="39">
        <f t="shared" si="50"/>
        <v>22.880567875958562</v>
      </c>
      <c r="L93" s="39">
        <f t="shared" si="50"/>
        <v>24.159687390818085</v>
      </c>
    </row>
    <row r="94" spans="1:12" ht="12.9" x14ac:dyDescent="0.35">
      <c r="C94" s="43"/>
      <c r="F94" s="43"/>
    </row>
    <row r="95" spans="1:12" s="29" customFormat="1" ht="12.9" x14ac:dyDescent="0.35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1.4292164760136616</v>
      </c>
      <c r="C95" s="43">
        <f t="shared" si="51"/>
        <v>-11.141683092182774</v>
      </c>
      <c r="D95" s="43">
        <f t="shared" si="51"/>
        <v>2.3620132807195882</v>
      </c>
      <c r="E95" s="43">
        <f t="shared" si="51"/>
        <v>-8.5150352583540645E-2</v>
      </c>
      <c r="F95" s="43">
        <f t="shared" si="49"/>
        <v>0.72400034116195666</v>
      </c>
      <c r="H95" s="43">
        <f>(B43/B$51)*100</f>
        <v>6.1673474892747722</v>
      </c>
      <c r="I95" s="43">
        <f>(C43/C$51)*100</f>
        <v>6.1912519210049126</v>
      </c>
      <c r="J95" s="43">
        <f>(D43/D$51)*100</f>
        <v>5.5664946463921616</v>
      </c>
      <c r="K95" s="43">
        <f>(E43/E$51)*100</f>
        <v>6.0736376998900568</v>
      </c>
      <c r="L95" s="43">
        <f>(F43/F$51)*100</f>
        <v>5.7751232151242853</v>
      </c>
    </row>
    <row r="96" spans="1:12" ht="12.9" x14ac:dyDescent="0.35">
      <c r="A96" t="str">
        <f>A44</f>
        <v>81 Process, plant and machine operatives</v>
      </c>
      <c r="B96" s="48">
        <f t="shared" si="51"/>
        <v>-0.76551982696938525</v>
      </c>
      <c r="C96" s="43">
        <f t="shared" si="51"/>
        <v>-12.207059293781064</v>
      </c>
      <c r="D96" s="48">
        <f t="shared" si="51"/>
        <v>3.7785384782074605</v>
      </c>
      <c r="E96" s="48">
        <f t="shared" si="51"/>
        <v>-0.20191077333471252</v>
      </c>
      <c r="F96" s="43">
        <f t="shared" si="49"/>
        <v>1.107646384199712</v>
      </c>
      <c r="H96" s="39">
        <f t="shared" ref="H96:L97" si="52">(B44/B$43)*100</f>
        <v>40.361169904723262</v>
      </c>
      <c r="I96" s="39">
        <f t="shared" si="52"/>
        <v>36.97957024548154</v>
      </c>
      <c r="J96" s="39">
        <f t="shared" si="52"/>
        <v>36.536199771497216</v>
      </c>
      <c r="K96" s="39">
        <f t="shared" si="52"/>
        <v>39.135152335584102</v>
      </c>
      <c r="L96" s="39">
        <f t="shared" si="52"/>
        <v>38.680216726418855</v>
      </c>
    </row>
    <row r="97" spans="1:12" ht="12.9" x14ac:dyDescent="0.35">
      <c r="A97" t="str">
        <f>A45</f>
        <v>82 Transport and mobile machine drivers and operatives</v>
      </c>
      <c r="B97" s="48">
        <f t="shared" si="51"/>
        <v>2.8374103873298528</v>
      </c>
      <c r="C97" s="43">
        <f t="shared" si="51"/>
        <v>-10.516534164472635</v>
      </c>
      <c r="D97" s="48">
        <f t="shared" si="51"/>
        <v>1.5095522497039937</v>
      </c>
      <c r="E97" s="48">
        <f t="shared" si="51"/>
        <v>-1.0718795270914239E-2</v>
      </c>
      <c r="F97" s="43">
        <f t="shared" si="49"/>
        <v>0.49349139431071887</v>
      </c>
      <c r="H97" s="39">
        <f t="shared" si="52"/>
        <v>59.638830095276731</v>
      </c>
      <c r="I97" s="39">
        <f t="shared" si="52"/>
        <v>63.020429754518446</v>
      </c>
      <c r="J97" s="39">
        <f t="shared" si="52"/>
        <v>63.463800228502784</v>
      </c>
      <c r="K97" s="39">
        <f t="shared" si="52"/>
        <v>60.864847664415898</v>
      </c>
      <c r="L97" s="39">
        <f t="shared" si="52"/>
        <v>61.319783273581137</v>
      </c>
    </row>
    <row r="98" spans="1:12" ht="12.9" x14ac:dyDescent="0.35">
      <c r="C98" s="43"/>
      <c r="F98" s="43"/>
    </row>
    <row r="99" spans="1:12" s="29" customFormat="1" ht="12.9" x14ac:dyDescent="0.35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-9.0592976536785219E-2</v>
      </c>
      <c r="C99" s="43">
        <f t="shared" si="53"/>
        <v>-8.7753843905906788</v>
      </c>
      <c r="D99" s="43">
        <f t="shared" si="53"/>
        <v>5.5244845366719808E-2</v>
      </c>
      <c r="E99" s="43">
        <f t="shared" si="53"/>
        <v>-0.34660984962215924</v>
      </c>
      <c r="F99" s="43">
        <f t="shared" si="49"/>
        <v>-0.21283793663661177</v>
      </c>
      <c r="H99" s="43">
        <f>(B47/B$51)*100</f>
        <v>11.523494355751694</v>
      </c>
      <c r="I99" s="43">
        <f>(C47/C$51)*100</f>
        <v>10.890241065677955</v>
      </c>
      <c r="J99" s="43">
        <f>(D47/D$51)*100</f>
        <v>10.052053064167842</v>
      </c>
      <c r="K99" s="43">
        <f>(E47/E$51)*100</f>
        <v>9.7864923004963433</v>
      </c>
      <c r="L99" s="43">
        <f>(F47/F$51)*100</f>
        <v>9.0648331899218846</v>
      </c>
    </row>
    <row r="100" spans="1:12" ht="12.9" x14ac:dyDescent="0.35">
      <c r="A100" t="str">
        <f>A48</f>
        <v>91 Elementary trades and related occupations</v>
      </c>
      <c r="B100" s="48">
        <f t="shared" si="53"/>
        <v>-2.5864090940220574</v>
      </c>
      <c r="C100" s="43">
        <f t="shared" si="53"/>
        <v>-11.013465682235768</v>
      </c>
      <c r="D100" s="48">
        <f t="shared" si="53"/>
        <v>-3.3626240531507756</v>
      </c>
      <c r="E100" s="48">
        <f t="shared" si="53"/>
        <v>-0.51523856698539872</v>
      </c>
      <c r="F100" s="43">
        <f t="shared" si="49"/>
        <v>-1.4735689558833975</v>
      </c>
      <c r="H100" s="39">
        <f t="shared" ref="H100:L101" si="54">(B48/B$47)*100</f>
        <v>14.411905206933975</v>
      </c>
      <c r="I100" s="39">
        <f t="shared" si="54"/>
        <v>13.024890552929353</v>
      </c>
      <c r="J100" s="39">
        <f t="shared" si="54"/>
        <v>12.705341233071991</v>
      </c>
      <c r="K100" s="39">
        <f t="shared" si="54"/>
        <v>10.678559752907749</v>
      </c>
      <c r="L100" s="39">
        <f t="shared" si="54"/>
        <v>10.499232018249053</v>
      </c>
    </row>
    <row r="101" spans="1:12" ht="12.9" x14ac:dyDescent="0.35">
      <c r="A101" t="str">
        <f>A49</f>
        <v>92 Elementary administration and service occupations</v>
      </c>
      <c r="B101" s="48">
        <f t="shared" si="53"/>
        <v>0.31174551842354514</v>
      </c>
      <c r="C101" s="43">
        <f t="shared" si="53"/>
        <v>-8.440222249863794</v>
      </c>
      <c r="D101" s="48">
        <f t="shared" si="53"/>
        <v>0.51559971405030769</v>
      </c>
      <c r="E101" s="48">
        <f t="shared" si="53"/>
        <v>-0.32662081681797961</v>
      </c>
      <c r="F101" s="43">
        <f t="shared" si="49"/>
        <v>-4.6667681845247166E-2</v>
      </c>
      <c r="H101" s="39">
        <f t="shared" si="54"/>
        <v>85.588094793066034</v>
      </c>
      <c r="I101" s="39">
        <f t="shared" si="54"/>
        <v>86.975109447070651</v>
      </c>
      <c r="J101" s="39">
        <f t="shared" si="54"/>
        <v>87.294658766928009</v>
      </c>
      <c r="K101" s="39">
        <f t="shared" si="54"/>
        <v>89.321440247092255</v>
      </c>
      <c r="L101" s="39">
        <f t="shared" si="54"/>
        <v>89.50076798175094</v>
      </c>
    </row>
    <row r="102" spans="1:12" ht="12.9" x14ac:dyDescent="0.35">
      <c r="A102" s="13"/>
      <c r="C102" s="43"/>
      <c r="F102" s="43"/>
    </row>
    <row r="103" spans="1:12" ht="12.9" x14ac:dyDescent="0.35">
      <c r="A103" s="38" t="str">
        <f t="shared" ref="A103" si="55">A51</f>
        <v>All occupations</v>
      </c>
      <c r="B103" s="49">
        <f>IF(AND(C$5-B$5 &lt;&gt; 0,C51 &lt;&gt; 0,B51 &lt;&gt; 0),(EXP(LN(C51/B51)/(C$5-B$5))-1)*100,0)</f>
        <v>1.3311698180238585</v>
      </c>
      <c r="C103" s="206">
        <f t="shared" ref="C103" si="56">IF(AND(D$5-C$5 &lt;&gt; 0,D51 &lt;&gt; 0,C51 &lt;&gt; 0),(EXP(LN(D51/C51)/(D$5-C$5))-1)*100,0)</f>
        <v>-1.1686419909962109</v>
      </c>
      <c r="D103" s="49">
        <f>IF(AND(E$5-D$5 &lt;&gt; 0,E51 &lt;&gt; 0,D51 &lt;&gt; 0),(EXP(LN(E51/D51)/(E$5-D$5))-1)*100,0)</f>
        <v>0.59245370532130526</v>
      </c>
      <c r="E103" s="49">
        <f>IF(AND(F$5-E$5 &lt;&gt; 0,F51 &lt;&gt; 0,E51 &lt;&gt; 0),(EXP(LN(F51/E51)/(F$5-E$5))-1)*100,0)</f>
        <v>0.4196727942317624</v>
      </c>
      <c r="F103" s="206">
        <f t="shared" si="49"/>
        <v>0.477233431154378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45" x14ac:dyDescent="0.3"/>
  <cols>
    <col min="1" max="1" width="35.53515625" style="90" customWidth="1"/>
    <col min="2" max="4" width="6.69140625" style="90" bestFit="1" customWidth="1"/>
    <col min="5" max="5" width="5" style="90" customWidth="1"/>
    <col min="6" max="8" width="6.69140625" style="90" bestFit="1" customWidth="1"/>
    <col min="9" max="9" width="5" style="90" customWidth="1"/>
    <col min="10" max="12" width="6.69140625" style="90" bestFit="1" customWidth="1"/>
    <col min="13" max="13" width="5" style="90" customWidth="1"/>
    <col min="14" max="14" width="8.84375" style="90" customWidth="1"/>
    <col min="15" max="15" width="7.15234375" style="90" customWidth="1"/>
    <col min="16" max="16" width="2.84375" style="90" customWidth="1"/>
    <col min="17" max="17" width="7.3828125" style="90" customWidth="1"/>
    <col min="18" max="18" width="7.3046875" style="90" customWidth="1"/>
    <col min="19" max="19" width="2.69140625" style="90" customWidth="1"/>
    <col min="20" max="20" width="8.15234375" style="90" customWidth="1"/>
    <col min="21" max="21" width="7.3828125" style="90" customWidth="1"/>
    <col min="22" max="254" width="9.15234375" style="90"/>
    <col min="255" max="255" width="33.15234375" style="90" bestFit="1" customWidth="1"/>
    <col min="256" max="258" width="7.15234375" style="90" customWidth="1"/>
    <col min="259" max="259" width="5" style="90" customWidth="1"/>
    <col min="260" max="262" width="7.15234375" style="90" customWidth="1"/>
    <col min="263" max="263" width="5" style="90" customWidth="1"/>
    <col min="264" max="266" width="7.15234375" style="90" customWidth="1"/>
    <col min="267" max="510" width="9.15234375" style="90"/>
    <col min="511" max="511" width="33.15234375" style="90" bestFit="1" customWidth="1"/>
    <col min="512" max="514" width="7.15234375" style="90" customWidth="1"/>
    <col min="515" max="515" width="5" style="90" customWidth="1"/>
    <col min="516" max="518" width="7.15234375" style="90" customWidth="1"/>
    <col min="519" max="519" width="5" style="90" customWidth="1"/>
    <col min="520" max="522" width="7.15234375" style="90" customWidth="1"/>
    <col min="523" max="766" width="9.15234375" style="90"/>
    <col min="767" max="767" width="33.15234375" style="90" bestFit="1" customWidth="1"/>
    <col min="768" max="770" width="7.15234375" style="90" customWidth="1"/>
    <col min="771" max="771" width="5" style="90" customWidth="1"/>
    <col min="772" max="774" width="7.15234375" style="90" customWidth="1"/>
    <col min="775" max="775" width="5" style="90" customWidth="1"/>
    <col min="776" max="778" width="7.15234375" style="90" customWidth="1"/>
    <col min="779" max="1022" width="9.15234375" style="90"/>
    <col min="1023" max="1023" width="33.15234375" style="90" bestFit="1" customWidth="1"/>
    <col min="1024" max="1026" width="7.15234375" style="90" customWidth="1"/>
    <col min="1027" max="1027" width="5" style="90" customWidth="1"/>
    <col min="1028" max="1030" width="7.15234375" style="90" customWidth="1"/>
    <col min="1031" max="1031" width="5" style="90" customWidth="1"/>
    <col min="1032" max="1034" width="7.15234375" style="90" customWidth="1"/>
    <col min="1035" max="1278" width="9.15234375" style="90"/>
    <col min="1279" max="1279" width="33.15234375" style="90" bestFit="1" customWidth="1"/>
    <col min="1280" max="1282" width="7.15234375" style="90" customWidth="1"/>
    <col min="1283" max="1283" width="5" style="90" customWidth="1"/>
    <col min="1284" max="1286" width="7.15234375" style="90" customWidth="1"/>
    <col min="1287" max="1287" width="5" style="90" customWidth="1"/>
    <col min="1288" max="1290" width="7.15234375" style="90" customWidth="1"/>
    <col min="1291" max="1534" width="9.15234375" style="90"/>
    <col min="1535" max="1535" width="33.15234375" style="90" bestFit="1" customWidth="1"/>
    <col min="1536" max="1538" width="7.15234375" style="90" customWidth="1"/>
    <col min="1539" max="1539" width="5" style="90" customWidth="1"/>
    <col min="1540" max="1542" width="7.15234375" style="90" customWidth="1"/>
    <col min="1543" max="1543" width="5" style="90" customWidth="1"/>
    <col min="1544" max="1546" width="7.15234375" style="90" customWidth="1"/>
    <col min="1547" max="1790" width="9.15234375" style="90"/>
    <col min="1791" max="1791" width="33.15234375" style="90" bestFit="1" customWidth="1"/>
    <col min="1792" max="1794" width="7.15234375" style="90" customWidth="1"/>
    <col min="1795" max="1795" width="5" style="90" customWidth="1"/>
    <col min="1796" max="1798" width="7.15234375" style="90" customWidth="1"/>
    <col min="1799" max="1799" width="5" style="90" customWidth="1"/>
    <col min="1800" max="1802" width="7.15234375" style="90" customWidth="1"/>
    <col min="1803" max="2046" width="9.15234375" style="90"/>
    <col min="2047" max="2047" width="33.15234375" style="90" bestFit="1" customWidth="1"/>
    <col min="2048" max="2050" width="7.15234375" style="90" customWidth="1"/>
    <col min="2051" max="2051" width="5" style="90" customWidth="1"/>
    <col min="2052" max="2054" width="7.15234375" style="90" customWidth="1"/>
    <col min="2055" max="2055" width="5" style="90" customWidth="1"/>
    <col min="2056" max="2058" width="7.15234375" style="90" customWidth="1"/>
    <col min="2059" max="2302" width="9.15234375" style="90"/>
    <col min="2303" max="2303" width="33.15234375" style="90" bestFit="1" customWidth="1"/>
    <col min="2304" max="2306" width="7.15234375" style="90" customWidth="1"/>
    <col min="2307" max="2307" width="5" style="90" customWidth="1"/>
    <col min="2308" max="2310" width="7.15234375" style="90" customWidth="1"/>
    <col min="2311" max="2311" width="5" style="90" customWidth="1"/>
    <col min="2312" max="2314" width="7.15234375" style="90" customWidth="1"/>
    <col min="2315" max="2558" width="9.15234375" style="90"/>
    <col min="2559" max="2559" width="33.15234375" style="90" bestFit="1" customWidth="1"/>
    <col min="2560" max="2562" width="7.15234375" style="90" customWidth="1"/>
    <col min="2563" max="2563" width="5" style="90" customWidth="1"/>
    <col min="2564" max="2566" width="7.15234375" style="90" customWidth="1"/>
    <col min="2567" max="2567" width="5" style="90" customWidth="1"/>
    <col min="2568" max="2570" width="7.15234375" style="90" customWidth="1"/>
    <col min="2571" max="2814" width="9.15234375" style="90"/>
    <col min="2815" max="2815" width="33.15234375" style="90" bestFit="1" customWidth="1"/>
    <col min="2816" max="2818" width="7.15234375" style="90" customWidth="1"/>
    <col min="2819" max="2819" width="5" style="90" customWidth="1"/>
    <col min="2820" max="2822" width="7.15234375" style="90" customWidth="1"/>
    <col min="2823" max="2823" width="5" style="90" customWidth="1"/>
    <col min="2824" max="2826" width="7.15234375" style="90" customWidth="1"/>
    <col min="2827" max="3070" width="9.15234375" style="90"/>
    <col min="3071" max="3071" width="33.15234375" style="90" bestFit="1" customWidth="1"/>
    <col min="3072" max="3074" width="7.15234375" style="90" customWidth="1"/>
    <col min="3075" max="3075" width="5" style="90" customWidth="1"/>
    <col min="3076" max="3078" width="7.15234375" style="90" customWidth="1"/>
    <col min="3079" max="3079" width="5" style="90" customWidth="1"/>
    <col min="3080" max="3082" width="7.15234375" style="90" customWidth="1"/>
    <col min="3083" max="3326" width="9.15234375" style="90"/>
    <col min="3327" max="3327" width="33.15234375" style="90" bestFit="1" customWidth="1"/>
    <col min="3328" max="3330" width="7.15234375" style="90" customWidth="1"/>
    <col min="3331" max="3331" width="5" style="90" customWidth="1"/>
    <col min="3332" max="3334" width="7.15234375" style="90" customWidth="1"/>
    <col min="3335" max="3335" width="5" style="90" customWidth="1"/>
    <col min="3336" max="3338" width="7.15234375" style="90" customWidth="1"/>
    <col min="3339" max="3582" width="9.15234375" style="90"/>
    <col min="3583" max="3583" width="33.15234375" style="90" bestFit="1" customWidth="1"/>
    <col min="3584" max="3586" width="7.15234375" style="90" customWidth="1"/>
    <col min="3587" max="3587" width="5" style="90" customWidth="1"/>
    <col min="3588" max="3590" width="7.15234375" style="90" customWidth="1"/>
    <col min="3591" max="3591" width="5" style="90" customWidth="1"/>
    <col min="3592" max="3594" width="7.15234375" style="90" customWidth="1"/>
    <col min="3595" max="3838" width="9.15234375" style="90"/>
    <col min="3839" max="3839" width="33.15234375" style="90" bestFit="1" customWidth="1"/>
    <col min="3840" max="3842" width="7.15234375" style="90" customWidth="1"/>
    <col min="3843" max="3843" width="5" style="90" customWidth="1"/>
    <col min="3844" max="3846" width="7.15234375" style="90" customWidth="1"/>
    <col min="3847" max="3847" width="5" style="90" customWidth="1"/>
    <col min="3848" max="3850" width="7.15234375" style="90" customWidth="1"/>
    <col min="3851" max="4094" width="9.15234375" style="90"/>
    <col min="4095" max="4095" width="33.15234375" style="90" bestFit="1" customWidth="1"/>
    <col min="4096" max="4098" width="7.15234375" style="90" customWidth="1"/>
    <col min="4099" max="4099" width="5" style="90" customWidth="1"/>
    <col min="4100" max="4102" width="7.15234375" style="90" customWidth="1"/>
    <col min="4103" max="4103" width="5" style="90" customWidth="1"/>
    <col min="4104" max="4106" width="7.15234375" style="90" customWidth="1"/>
    <col min="4107" max="4350" width="9.15234375" style="90"/>
    <col min="4351" max="4351" width="33.15234375" style="90" bestFit="1" customWidth="1"/>
    <col min="4352" max="4354" width="7.15234375" style="90" customWidth="1"/>
    <col min="4355" max="4355" width="5" style="90" customWidth="1"/>
    <col min="4356" max="4358" width="7.15234375" style="90" customWidth="1"/>
    <col min="4359" max="4359" width="5" style="90" customWidth="1"/>
    <col min="4360" max="4362" width="7.15234375" style="90" customWidth="1"/>
    <col min="4363" max="4606" width="9.15234375" style="90"/>
    <col min="4607" max="4607" width="33.15234375" style="90" bestFit="1" customWidth="1"/>
    <col min="4608" max="4610" width="7.15234375" style="90" customWidth="1"/>
    <col min="4611" max="4611" width="5" style="90" customWidth="1"/>
    <col min="4612" max="4614" width="7.15234375" style="90" customWidth="1"/>
    <col min="4615" max="4615" width="5" style="90" customWidth="1"/>
    <col min="4616" max="4618" width="7.15234375" style="90" customWidth="1"/>
    <col min="4619" max="4862" width="9.15234375" style="90"/>
    <col min="4863" max="4863" width="33.15234375" style="90" bestFit="1" customWidth="1"/>
    <col min="4864" max="4866" width="7.15234375" style="90" customWidth="1"/>
    <col min="4867" max="4867" width="5" style="90" customWidth="1"/>
    <col min="4868" max="4870" width="7.15234375" style="90" customWidth="1"/>
    <col min="4871" max="4871" width="5" style="90" customWidth="1"/>
    <col min="4872" max="4874" width="7.15234375" style="90" customWidth="1"/>
    <col min="4875" max="5118" width="9.15234375" style="90"/>
    <col min="5119" max="5119" width="33.15234375" style="90" bestFit="1" customWidth="1"/>
    <col min="5120" max="5122" width="7.15234375" style="90" customWidth="1"/>
    <col min="5123" max="5123" width="5" style="90" customWidth="1"/>
    <col min="5124" max="5126" width="7.15234375" style="90" customWidth="1"/>
    <col min="5127" max="5127" width="5" style="90" customWidth="1"/>
    <col min="5128" max="5130" width="7.15234375" style="90" customWidth="1"/>
    <col min="5131" max="5374" width="9.15234375" style="90"/>
    <col min="5375" max="5375" width="33.15234375" style="90" bestFit="1" customWidth="1"/>
    <col min="5376" max="5378" width="7.15234375" style="90" customWidth="1"/>
    <col min="5379" max="5379" width="5" style="90" customWidth="1"/>
    <col min="5380" max="5382" width="7.15234375" style="90" customWidth="1"/>
    <col min="5383" max="5383" width="5" style="90" customWidth="1"/>
    <col min="5384" max="5386" width="7.15234375" style="90" customWidth="1"/>
    <col min="5387" max="5630" width="9.15234375" style="90"/>
    <col min="5631" max="5631" width="33.15234375" style="90" bestFit="1" customWidth="1"/>
    <col min="5632" max="5634" width="7.15234375" style="90" customWidth="1"/>
    <col min="5635" max="5635" width="5" style="90" customWidth="1"/>
    <col min="5636" max="5638" width="7.15234375" style="90" customWidth="1"/>
    <col min="5639" max="5639" width="5" style="90" customWidth="1"/>
    <col min="5640" max="5642" width="7.15234375" style="90" customWidth="1"/>
    <col min="5643" max="5886" width="9.15234375" style="90"/>
    <col min="5887" max="5887" width="33.15234375" style="90" bestFit="1" customWidth="1"/>
    <col min="5888" max="5890" width="7.15234375" style="90" customWidth="1"/>
    <col min="5891" max="5891" width="5" style="90" customWidth="1"/>
    <col min="5892" max="5894" width="7.15234375" style="90" customWidth="1"/>
    <col min="5895" max="5895" width="5" style="90" customWidth="1"/>
    <col min="5896" max="5898" width="7.15234375" style="90" customWidth="1"/>
    <col min="5899" max="6142" width="9.15234375" style="90"/>
    <col min="6143" max="6143" width="33.15234375" style="90" bestFit="1" customWidth="1"/>
    <col min="6144" max="6146" width="7.15234375" style="90" customWidth="1"/>
    <col min="6147" max="6147" width="5" style="90" customWidth="1"/>
    <col min="6148" max="6150" width="7.15234375" style="90" customWidth="1"/>
    <col min="6151" max="6151" width="5" style="90" customWidth="1"/>
    <col min="6152" max="6154" width="7.15234375" style="90" customWidth="1"/>
    <col min="6155" max="6398" width="9.15234375" style="90"/>
    <col min="6399" max="6399" width="33.15234375" style="90" bestFit="1" customWidth="1"/>
    <col min="6400" max="6402" width="7.15234375" style="90" customWidth="1"/>
    <col min="6403" max="6403" width="5" style="90" customWidth="1"/>
    <col min="6404" max="6406" width="7.15234375" style="90" customWidth="1"/>
    <col min="6407" max="6407" width="5" style="90" customWidth="1"/>
    <col min="6408" max="6410" width="7.15234375" style="90" customWidth="1"/>
    <col min="6411" max="6654" width="9.15234375" style="90"/>
    <col min="6655" max="6655" width="33.15234375" style="90" bestFit="1" customWidth="1"/>
    <col min="6656" max="6658" width="7.15234375" style="90" customWidth="1"/>
    <col min="6659" max="6659" width="5" style="90" customWidth="1"/>
    <col min="6660" max="6662" width="7.15234375" style="90" customWidth="1"/>
    <col min="6663" max="6663" width="5" style="90" customWidth="1"/>
    <col min="6664" max="6666" width="7.15234375" style="90" customWidth="1"/>
    <col min="6667" max="6910" width="9.15234375" style="90"/>
    <col min="6911" max="6911" width="33.15234375" style="90" bestFit="1" customWidth="1"/>
    <col min="6912" max="6914" width="7.15234375" style="90" customWidth="1"/>
    <col min="6915" max="6915" width="5" style="90" customWidth="1"/>
    <col min="6916" max="6918" width="7.15234375" style="90" customWidth="1"/>
    <col min="6919" max="6919" width="5" style="90" customWidth="1"/>
    <col min="6920" max="6922" width="7.15234375" style="90" customWidth="1"/>
    <col min="6923" max="7166" width="9.15234375" style="90"/>
    <col min="7167" max="7167" width="33.15234375" style="90" bestFit="1" customWidth="1"/>
    <col min="7168" max="7170" width="7.15234375" style="90" customWidth="1"/>
    <col min="7171" max="7171" width="5" style="90" customWidth="1"/>
    <col min="7172" max="7174" width="7.15234375" style="90" customWidth="1"/>
    <col min="7175" max="7175" width="5" style="90" customWidth="1"/>
    <col min="7176" max="7178" width="7.15234375" style="90" customWidth="1"/>
    <col min="7179" max="7422" width="9.15234375" style="90"/>
    <col min="7423" max="7423" width="33.15234375" style="90" bestFit="1" customWidth="1"/>
    <col min="7424" max="7426" width="7.15234375" style="90" customWidth="1"/>
    <col min="7427" max="7427" width="5" style="90" customWidth="1"/>
    <col min="7428" max="7430" width="7.15234375" style="90" customWidth="1"/>
    <col min="7431" max="7431" width="5" style="90" customWidth="1"/>
    <col min="7432" max="7434" width="7.15234375" style="90" customWidth="1"/>
    <col min="7435" max="7678" width="9.15234375" style="90"/>
    <col min="7679" max="7679" width="33.15234375" style="90" bestFit="1" customWidth="1"/>
    <col min="7680" max="7682" width="7.15234375" style="90" customWidth="1"/>
    <col min="7683" max="7683" width="5" style="90" customWidth="1"/>
    <col min="7684" max="7686" width="7.15234375" style="90" customWidth="1"/>
    <col min="7687" max="7687" width="5" style="90" customWidth="1"/>
    <col min="7688" max="7690" width="7.15234375" style="90" customWidth="1"/>
    <col min="7691" max="7934" width="9.15234375" style="90"/>
    <col min="7935" max="7935" width="33.15234375" style="90" bestFit="1" customWidth="1"/>
    <col min="7936" max="7938" width="7.15234375" style="90" customWidth="1"/>
    <col min="7939" max="7939" width="5" style="90" customWidth="1"/>
    <col min="7940" max="7942" width="7.15234375" style="90" customWidth="1"/>
    <col min="7943" max="7943" width="5" style="90" customWidth="1"/>
    <col min="7944" max="7946" width="7.15234375" style="90" customWidth="1"/>
    <col min="7947" max="8190" width="9.15234375" style="90"/>
    <col min="8191" max="8191" width="33.15234375" style="90" bestFit="1" customWidth="1"/>
    <col min="8192" max="8194" width="7.15234375" style="90" customWidth="1"/>
    <col min="8195" max="8195" width="5" style="90" customWidth="1"/>
    <col min="8196" max="8198" width="7.15234375" style="90" customWidth="1"/>
    <col min="8199" max="8199" width="5" style="90" customWidth="1"/>
    <col min="8200" max="8202" width="7.15234375" style="90" customWidth="1"/>
    <col min="8203" max="8446" width="9.15234375" style="90"/>
    <col min="8447" max="8447" width="33.15234375" style="90" bestFit="1" customWidth="1"/>
    <col min="8448" max="8450" width="7.15234375" style="90" customWidth="1"/>
    <col min="8451" max="8451" width="5" style="90" customWidth="1"/>
    <col min="8452" max="8454" width="7.15234375" style="90" customWidth="1"/>
    <col min="8455" max="8455" width="5" style="90" customWidth="1"/>
    <col min="8456" max="8458" width="7.15234375" style="90" customWidth="1"/>
    <col min="8459" max="8702" width="9.15234375" style="90"/>
    <col min="8703" max="8703" width="33.15234375" style="90" bestFit="1" customWidth="1"/>
    <col min="8704" max="8706" width="7.15234375" style="90" customWidth="1"/>
    <col min="8707" max="8707" width="5" style="90" customWidth="1"/>
    <col min="8708" max="8710" width="7.15234375" style="90" customWidth="1"/>
    <col min="8711" max="8711" width="5" style="90" customWidth="1"/>
    <col min="8712" max="8714" width="7.15234375" style="90" customWidth="1"/>
    <col min="8715" max="8958" width="9.15234375" style="90"/>
    <col min="8959" max="8959" width="33.15234375" style="90" bestFit="1" customWidth="1"/>
    <col min="8960" max="8962" width="7.15234375" style="90" customWidth="1"/>
    <col min="8963" max="8963" width="5" style="90" customWidth="1"/>
    <col min="8964" max="8966" width="7.15234375" style="90" customWidth="1"/>
    <col min="8967" max="8967" width="5" style="90" customWidth="1"/>
    <col min="8968" max="8970" width="7.15234375" style="90" customWidth="1"/>
    <col min="8971" max="9214" width="9.15234375" style="90"/>
    <col min="9215" max="9215" width="33.15234375" style="90" bestFit="1" customWidth="1"/>
    <col min="9216" max="9218" width="7.15234375" style="90" customWidth="1"/>
    <col min="9219" max="9219" width="5" style="90" customWidth="1"/>
    <col min="9220" max="9222" width="7.15234375" style="90" customWidth="1"/>
    <col min="9223" max="9223" width="5" style="90" customWidth="1"/>
    <col min="9224" max="9226" width="7.15234375" style="90" customWidth="1"/>
    <col min="9227" max="9470" width="9.15234375" style="90"/>
    <col min="9471" max="9471" width="33.15234375" style="90" bestFit="1" customWidth="1"/>
    <col min="9472" max="9474" width="7.15234375" style="90" customWidth="1"/>
    <col min="9475" max="9475" width="5" style="90" customWidth="1"/>
    <col min="9476" max="9478" width="7.15234375" style="90" customWidth="1"/>
    <col min="9479" max="9479" width="5" style="90" customWidth="1"/>
    <col min="9480" max="9482" width="7.15234375" style="90" customWidth="1"/>
    <col min="9483" max="9726" width="9.15234375" style="90"/>
    <col min="9727" max="9727" width="33.15234375" style="90" bestFit="1" customWidth="1"/>
    <col min="9728" max="9730" width="7.15234375" style="90" customWidth="1"/>
    <col min="9731" max="9731" width="5" style="90" customWidth="1"/>
    <col min="9732" max="9734" width="7.15234375" style="90" customWidth="1"/>
    <col min="9735" max="9735" width="5" style="90" customWidth="1"/>
    <col min="9736" max="9738" width="7.15234375" style="90" customWidth="1"/>
    <col min="9739" max="9982" width="9.15234375" style="90"/>
    <col min="9983" max="9983" width="33.15234375" style="90" bestFit="1" customWidth="1"/>
    <col min="9984" max="9986" width="7.15234375" style="90" customWidth="1"/>
    <col min="9987" max="9987" width="5" style="90" customWidth="1"/>
    <col min="9988" max="9990" width="7.15234375" style="90" customWidth="1"/>
    <col min="9991" max="9991" width="5" style="90" customWidth="1"/>
    <col min="9992" max="9994" width="7.15234375" style="90" customWidth="1"/>
    <col min="9995" max="10238" width="9.15234375" style="90"/>
    <col min="10239" max="10239" width="33.15234375" style="90" bestFit="1" customWidth="1"/>
    <col min="10240" max="10242" width="7.15234375" style="90" customWidth="1"/>
    <col min="10243" max="10243" width="5" style="90" customWidth="1"/>
    <col min="10244" max="10246" width="7.15234375" style="90" customWidth="1"/>
    <col min="10247" max="10247" width="5" style="90" customWidth="1"/>
    <col min="10248" max="10250" width="7.15234375" style="90" customWidth="1"/>
    <col min="10251" max="10494" width="9.15234375" style="90"/>
    <col min="10495" max="10495" width="33.15234375" style="90" bestFit="1" customWidth="1"/>
    <col min="10496" max="10498" width="7.15234375" style="90" customWidth="1"/>
    <col min="10499" max="10499" width="5" style="90" customWidth="1"/>
    <col min="10500" max="10502" width="7.15234375" style="90" customWidth="1"/>
    <col min="10503" max="10503" width="5" style="90" customWidth="1"/>
    <col min="10504" max="10506" width="7.15234375" style="90" customWidth="1"/>
    <col min="10507" max="10750" width="9.15234375" style="90"/>
    <col min="10751" max="10751" width="33.15234375" style="90" bestFit="1" customWidth="1"/>
    <col min="10752" max="10754" width="7.15234375" style="90" customWidth="1"/>
    <col min="10755" max="10755" width="5" style="90" customWidth="1"/>
    <col min="10756" max="10758" width="7.15234375" style="90" customWidth="1"/>
    <col min="10759" max="10759" width="5" style="90" customWidth="1"/>
    <col min="10760" max="10762" width="7.15234375" style="90" customWidth="1"/>
    <col min="10763" max="11006" width="9.15234375" style="90"/>
    <col min="11007" max="11007" width="33.15234375" style="90" bestFit="1" customWidth="1"/>
    <col min="11008" max="11010" width="7.15234375" style="90" customWidth="1"/>
    <col min="11011" max="11011" width="5" style="90" customWidth="1"/>
    <col min="11012" max="11014" width="7.15234375" style="90" customWidth="1"/>
    <col min="11015" max="11015" width="5" style="90" customWidth="1"/>
    <col min="11016" max="11018" width="7.15234375" style="90" customWidth="1"/>
    <col min="11019" max="11262" width="9.15234375" style="90"/>
    <col min="11263" max="11263" width="33.15234375" style="90" bestFit="1" customWidth="1"/>
    <col min="11264" max="11266" width="7.15234375" style="90" customWidth="1"/>
    <col min="11267" max="11267" width="5" style="90" customWidth="1"/>
    <col min="11268" max="11270" width="7.15234375" style="90" customWidth="1"/>
    <col min="11271" max="11271" width="5" style="90" customWidth="1"/>
    <col min="11272" max="11274" width="7.15234375" style="90" customWidth="1"/>
    <col min="11275" max="11518" width="9.15234375" style="90"/>
    <col min="11519" max="11519" width="33.15234375" style="90" bestFit="1" customWidth="1"/>
    <col min="11520" max="11522" width="7.15234375" style="90" customWidth="1"/>
    <col min="11523" max="11523" width="5" style="90" customWidth="1"/>
    <col min="11524" max="11526" width="7.15234375" style="90" customWidth="1"/>
    <col min="11527" max="11527" width="5" style="90" customWidth="1"/>
    <col min="11528" max="11530" width="7.15234375" style="90" customWidth="1"/>
    <col min="11531" max="11774" width="9.15234375" style="90"/>
    <col min="11775" max="11775" width="33.15234375" style="90" bestFit="1" customWidth="1"/>
    <col min="11776" max="11778" width="7.15234375" style="90" customWidth="1"/>
    <col min="11779" max="11779" width="5" style="90" customWidth="1"/>
    <col min="11780" max="11782" width="7.15234375" style="90" customWidth="1"/>
    <col min="11783" max="11783" width="5" style="90" customWidth="1"/>
    <col min="11784" max="11786" width="7.15234375" style="90" customWidth="1"/>
    <col min="11787" max="12030" width="9.15234375" style="90"/>
    <col min="12031" max="12031" width="33.15234375" style="90" bestFit="1" customWidth="1"/>
    <col min="12032" max="12034" width="7.15234375" style="90" customWidth="1"/>
    <col min="12035" max="12035" width="5" style="90" customWidth="1"/>
    <col min="12036" max="12038" width="7.15234375" style="90" customWidth="1"/>
    <col min="12039" max="12039" width="5" style="90" customWidth="1"/>
    <col min="12040" max="12042" width="7.15234375" style="90" customWidth="1"/>
    <col min="12043" max="12286" width="9.15234375" style="90"/>
    <col min="12287" max="12287" width="33.15234375" style="90" bestFit="1" customWidth="1"/>
    <col min="12288" max="12290" width="7.15234375" style="90" customWidth="1"/>
    <col min="12291" max="12291" width="5" style="90" customWidth="1"/>
    <col min="12292" max="12294" width="7.15234375" style="90" customWidth="1"/>
    <col min="12295" max="12295" width="5" style="90" customWidth="1"/>
    <col min="12296" max="12298" width="7.15234375" style="90" customWidth="1"/>
    <col min="12299" max="12542" width="9.15234375" style="90"/>
    <col min="12543" max="12543" width="33.15234375" style="90" bestFit="1" customWidth="1"/>
    <col min="12544" max="12546" width="7.15234375" style="90" customWidth="1"/>
    <col min="12547" max="12547" width="5" style="90" customWidth="1"/>
    <col min="12548" max="12550" width="7.15234375" style="90" customWidth="1"/>
    <col min="12551" max="12551" width="5" style="90" customWidth="1"/>
    <col min="12552" max="12554" width="7.15234375" style="90" customWidth="1"/>
    <col min="12555" max="12798" width="9.15234375" style="90"/>
    <col min="12799" max="12799" width="33.15234375" style="90" bestFit="1" customWidth="1"/>
    <col min="12800" max="12802" width="7.15234375" style="90" customWidth="1"/>
    <col min="12803" max="12803" width="5" style="90" customWidth="1"/>
    <col min="12804" max="12806" width="7.15234375" style="90" customWidth="1"/>
    <col min="12807" max="12807" width="5" style="90" customWidth="1"/>
    <col min="12808" max="12810" width="7.15234375" style="90" customWidth="1"/>
    <col min="12811" max="13054" width="9.15234375" style="90"/>
    <col min="13055" max="13055" width="33.15234375" style="90" bestFit="1" customWidth="1"/>
    <col min="13056" max="13058" width="7.15234375" style="90" customWidth="1"/>
    <col min="13059" max="13059" width="5" style="90" customWidth="1"/>
    <col min="13060" max="13062" width="7.15234375" style="90" customWidth="1"/>
    <col min="13063" max="13063" width="5" style="90" customWidth="1"/>
    <col min="13064" max="13066" width="7.15234375" style="90" customWidth="1"/>
    <col min="13067" max="13310" width="9.15234375" style="90"/>
    <col min="13311" max="13311" width="33.15234375" style="90" bestFit="1" customWidth="1"/>
    <col min="13312" max="13314" width="7.15234375" style="90" customWidth="1"/>
    <col min="13315" max="13315" width="5" style="90" customWidth="1"/>
    <col min="13316" max="13318" width="7.15234375" style="90" customWidth="1"/>
    <col min="13319" max="13319" width="5" style="90" customWidth="1"/>
    <col min="13320" max="13322" width="7.15234375" style="90" customWidth="1"/>
    <col min="13323" max="13566" width="9.15234375" style="90"/>
    <col min="13567" max="13567" width="33.15234375" style="90" bestFit="1" customWidth="1"/>
    <col min="13568" max="13570" width="7.15234375" style="90" customWidth="1"/>
    <col min="13571" max="13571" width="5" style="90" customWidth="1"/>
    <col min="13572" max="13574" width="7.15234375" style="90" customWidth="1"/>
    <col min="13575" max="13575" width="5" style="90" customWidth="1"/>
    <col min="13576" max="13578" width="7.15234375" style="90" customWidth="1"/>
    <col min="13579" max="13822" width="9.15234375" style="90"/>
    <col min="13823" max="13823" width="33.15234375" style="90" bestFit="1" customWidth="1"/>
    <col min="13824" max="13826" width="7.15234375" style="90" customWidth="1"/>
    <col min="13827" max="13827" width="5" style="90" customWidth="1"/>
    <col min="13828" max="13830" width="7.15234375" style="90" customWidth="1"/>
    <col min="13831" max="13831" width="5" style="90" customWidth="1"/>
    <col min="13832" max="13834" width="7.15234375" style="90" customWidth="1"/>
    <col min="13835" max="14078" width="9.15234375" style="90"/>
    <col min="14079" max="14079" width="33.15234375" style="90" bestFit="1" customWidth="1"/>
    <col min="14080" max="14082" width="7.15234375" style="90" customWidth="1"/>
    <col min="14083" max="14083" width="5" style="90" customWidth="1"/>
    <col min="14084" max="14086" width="7.15234375" style="90" customWidth="1"/>
    <col min="14087" max="14087" width="5" style="90" customWidth="1"/>
    <col min="14088" max="14090" width="7.15234375" style="90" customWidth="1"/>
    <col min="14091" max="14334" width="9.15234375" style="90"/>
    <col min="14335" max="14335" width="33.15234375" style="90" bestFit="1" customWidth="1"/>
    <col min="14336" max="14338" width="7.15234375" style="90" customWidth="1"/>
    <col min="14339" max="14339" width="5" style="90" customWidth="1"/>
    <col min="14340" max="14342" width="7.15234375" style="90" customWidth="1"/>
    <col min="14343" max="14343" width="5" style="90" customWidth="1"/>
    <col min="14344" max="14346" width="7.15234375" style="90" customWidth="1"/>
    <col min="14347" max="14590" width="9.15234375" style="90"/>
    <col min="14591" max="14591" width="33.15234375" style="90" bestFit="1" customWidth="1"/>
    <col min="14592" max="14594" width="7.15234375" style="90" customWidth="1"/>
    <col min="14595" max="14595" width="5" style="90" customWidth="1"/>
    <col min="14596" max="14598" width="7.15234375" style="90" customWidth="1"/>
    <col min="14599" max="14599" width="5" style="90" customWidth="1"/>
    <col min="14600" max="14602" width="7.15234375" style="90" customWidth="1"/>
    <col min="14603" max="14846" width="9.15234375" style="90"/>
    <col min="14847" max="14847" width="33.15234375" style="90" bestFit="1" customWidth="1"/>
    <col min="14848" max="14850" width="7.15234375" style="90" customWidth="1"/>
    <col min="14851" max="14851" width="5" style="90" customWidth="1"/>
    <col min="14852" max="14854" width="7.15234375" style="90" customWidth="1"/>
    <col min="14855" max="14855" width="5" style="90" customWidth="1"/>
    <col min="14856" max="14858" width="7.15234375" style="90" customWidth="1"/>
    <col min="14859" max="15102" width="9.15234375" style="90"/>
    <col min="15103" max="15103" width="33.15234375" style="90" bestFit="1" customWidth="1"/>
    <col min="15104" max="15106" width="7.15234375" style="90" customWidth="1"/>
    <col min="15107" max="15107" width="5" style="90" customWidth="1"/>
    <col min="15108" max="15110" width="7.15234375" style="90" customWidth="1"/>
    <col min="15111" max="15111" width="5" style="90" customWidth="1"/>
    <col min="15112" max="15114" width="7.15234375" style="90" customWidth="1"/>
    <col min="15115" max="15358" width="9.15234375" style="90"/>
    <col min="15359" max="15359" width="33.15234375" style="90" bestFit="1" customWidth="1"/>
    <col min="15360" max="15362" width="7.15234375" style="90" customWidth="1"/>
    <col min="15363" max="15363" width="5" style="90" customWidth="1"/>
    <col min="15364" max="15366" width="7.15234375" style="90" customWidth="1"/>
    <col min="15367" max="15367" width="5" style="90" customWidth="1"/>
    <col min="15368" max="15370" width="7.15234375" style="90" customWidth="1"/>
    <col min="15371" max="15614" width="9.15234375" style="90"/>
    <col min="15615" max="15615" width="33.15234375" style="90" bestFit="1" customWidth="1"/>
    <col min="15616" max="15618" width="7.15234375" style="90" customWidth="1"/>
    <col min="15619" max="15619" width="5" style="90" customWidth="1"/>
    <col min="15620" max="15622" width="7.15234375" style="90" customWidth="1"/>
    <col min="15623" max="15623" width="5" style="90" customWidth="1"/>
    <col min="15624" max="15626" width="7.15234375" style="90" customWidth="1"/>
    <col min="15627" max="15870" width="9.15234375" style="90"/>
    <col min="15871" max="15871" width="33.15234375" style="90" bestFit="1" customWidth="1"/>
    <col min="15872" max="15874" width="7.15234375" style="90" customWidth="1"/>
    <col min="15875" max="15875" width="5" style="90" customWidth="1"/>
    <col min="15876" max="15878" width="7.15234375" style="90" customWidth="1"/>
    <col min="15879" max="15879" width="5" style="90" customWidth="1"/>
    <col min="15880" max="15882" width="7.15234375" style="90" customWidth="1"/>
    <col min="15883" max="16126" width="9.15234375" style="90"/>
    <col min="16127" max="16127" width="33.15234375" style="90" bestFit="1" customWidth="1"/>
    <col min="16128" max="16130" width="7.15234375" style="90" customWidth="1"/>
    <col min="16131" max="16131" width="5" style="90" customWidth="1"/>
    <col min="16132" max="16134" width="7.15234375" style="90" customWidth="1"/>
    <col min="16135" max="16135" width="5" style="90" customWidth="1"/>
    <col min="16136" max="16138" width="7.15234375" style="90" customWidth="1"/>
    <col min="16139" max="16384" width="9.15234375" style="90"/>
  </cols>
  <sheetData>
    <row r="1" spans="1:25" ht="15.45" x14ac:dyDescent="0.4">
      <c r="A1" s="18" t="str">
        <f>CONCATENATE("Occupation Table 4  Occuptation composition (SOC2020) by gender, ",B$6,"-",J$6,", ",Info!B5)</f>
        <v>Occupation Table 4  Occuptation composition (SOC2020) by gender, 2015-2035,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3">
      <c r="A2" s="181" t="s">
        <v>535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ht="12.9" x14ac:dyDescent="0.35">
      <c r="B3" s="121"/>
      <c r="D3" s="121"/>
      <c r="F3" s="121"/>
      <c r="H3" s="121"/>
      <c r="J3" s="121"/>
      <c r="K3" s="236"/>
      <c r="L3" s="248"/>
      <c r="M3" s="236"/>
    </row>
    <row r="4" spans="1:25" x14ac:dyDescent="0.3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35">
      <c r="A6" s="241" t="s">
        <v>0</v>
      </c>
      <c r="B6" s="373">
        <v>2015</v>
      </c>
      <c r="C6" s="374"/>
      <c r="D6" s="374"/>
      <c r="E6" s="325"/>
      <c r="F6" s="373">
        <v>2020</v>
      </c>
      <c r="G6" s="374"/>
      <c r="H6" s="374"/>
      <c r="I6" s="325"/>
      <c r="J6" s="373">
        <v>2035</v>
      </c>
      <c r="K6" s="374"/>
      <c r="L6" s="374"/>
      <c r="M6" s="324"/>
      <c r="N6" s="374" t="s">
        <v>99</v>
      </c>
      <c r="O6" s="374"/>
      <c r="P6" s="326"/>
      <c r="Q6" s="374" t="s">
        <v>98</v>
      </c>
      <c r="R6" s="374"/>
      <c r="S6" s="326"/>
      <c r="T6" s="374" t="s">
        <v>32</v>
      </c>
      <c r="U6" s="374"/>
    </row>
    <row r="7" spans="1:25" ht="15" customHeight="1" x14ac:dyDescent="0.3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3">
      <c r="A9" s="329" t="str">
        <f>name!D4</f>
        <v>11 Corporate managers and directors</v>
      </c>
      <c r="B9" s="330">
        <v>585.71859906502959</v>
      </c>
      <c r="C9" s="330">
        <v>1313.7150399618365</v>
      </c>
      <c r="D9" s="330">
        <f>SUM(B9:C9)</f>
        <v>1899.4336390268661</v>
      </c>
      <c r="E9" s="331"/>
      <c r="F9" s="330">
        <v>782.6218359714743</v>
      </c>
      <c r="G9" s="330">
        <v>1518.2413496773415</v>
      </c>
      <c r="H9" s="330">
        <f>SUM(F9:G9)</f>
        <v>2300.8631856488159</v>
      </c>
      <c r="I9" s="331"/>
      <c r="J9" s="330">
        <v>916.42710278150287</v>
      </c>
      <c r="K9" s="330">
        <v>1451.2669141277029</v>
      </c>
      <c r="L9" s="330">
        <f>SUM(J9:K9)</f>
        <v>2367.6940169092059</v>
      </c>
      <c r="M9" s="236"/>
      <c r="N9" s="328">
        <f>IF(B9&gt;0,(EXP(LN(F9/B9)/($F$6-$B$6))-1)*100,0)</f>
        <v>5.9674757686186686</v>
      </c>
      <c r="O9" s="328">
        <f>IF(F9&gt;0,(EXP(LN(J9/F9)/($J$6-$F$6))-1)*100,0)</f>
        <v>1.0577747241631297</v>
      </c>
      <c r="P9" s="328"/>
      <c r="Q9" s="328">
        <f>IF(C9&gt;0,(EXP(LN(G9/C9)/($F$6-$B$6))-1)*100,0)</f>
        <v>2.9361518670649067</v>
      </c>
      <c r="R9" s="328">
        <f>IF(G9&gt;0,(EXP(LN(K9/G9)/($J$6-$F$6))-1)*100,0)</f>
        <v>-0.30031979775871909</v>
      </c>
      <c r="S9" s="327"/>
      <c r="T9" s="328">
        <f>IF(D9&gt;0,(EXP(LN(H9/D9)/($F$6-$B$6))-1)*100,0)</f>
        <v>3.9090403797999773</v>
      </c>
      <c r="U9" s="328">
        <f>IF(H9&gt;0,(EXP(LN(L9/H9)/($J$6-$F$6))-1)*100,0)</f>
        <v>0.19106324167674771</v>
      </c>
      <c r="W9" s="93"/>
      <c r="X9" s="93"/>
      <c r="Y9" s="93"/>
    </row>
    <row r="10" spans="1:25" x14ac:dyDescent="0.3">
      <c r="A10" s="329" t="str">
        <f>name!D5</f>
        <v>12 Other managers and proprietors</v>
      </c>
      <c r="B10" s="330">
        <v>363.44214010432034</v>
      </c>
      <c r="C10" s="330">
        <v>560.07918748953875</v>
      </c>
      <c r="D10" s="330">
        <f t="shared" ref="D10:D34" si="0">SUM(B10:C10)</f>
        <v>923.52132759385904</v>
      </c>
      <c r="E10" s="331"/>
      <c r="F10" s="330">
        <v>416.02533788199293</v>
      </c>
      <c r="G10" s="330">
        <v>581.07454147176304</v>
      </c>
      <c r="H10" s="330">
        <f t="shared" ref="H10:H34" si="1">SUM(F10:G10)</f>
        <v>997.09987935375602</v>
      </c>
      <c r="I10" s="331"/>
      <c r="J10" s="330">
        <v>579.60200689996805</v>
      </c>
      <c r="K10" s="330">
        <v>849.86568197048359</v>
      </c>
      <c r="L10" s="330">
        <f t="shared" ref="L10:L34" si="2">SUM(J10:K10)</f>
        <v>1429.4676888704516</v>
      </c>
      <c r="M10" s="236"/>
      <c r="N10" s="328">
        <f t="shared" ref="N10:N36" si="3">IF(B10&gt;0,(EXP(LN(F10/B10)/($F$6-$B$6))-1)*100,0)</f>
        <v>2.7393704445168199</v>
      </c>
      <c r="O10" s="328">
        <f t="shared" ref="O10:O36" si="4">IF(F10&gt;0,(EXP(LN(J10/F10)/($J$6-$F$6))-1)*100,0)</f>
        <v>2.2352523341509833</v>
      </c>
      <c r="P10" s="328"/>
      <c r="Q10" s="328">
        <f t="shared" ref="Q10:Q36" si="5">IF(C10&gt;0,(EXP(LN(G10/C10)/($F$6-$B$6))-1)*100,0)</f>
        <v>0.73873260984231859</v>
      </c>
      <c r="R10" s="328">
        <f t="shared" ref="R10:R36" si="6">IF(G10&gt;0,(EXP(LN(K10/G10)/($J$6-$F$6))-1)*100,0)</f>
        <v>2.5670574704306448</v>
      </c>
      <c r="S10" s="327"/>
      <c r="T10" s="328">
        <f t="shared" ref="T10:T36" si="7">IF(D10&gt;0,(EXP(LN(H10/D10)/($F$6-$B$6))-1)*100,0)</f>
        <v>1.5449539223747921</v>
      </c>
      <c r="U10" s="328">
        <f t="shared" ref="U10:U36" si="8">IF(H10&gt;0,(EXP(LN(L10/H10)/($J$6-$F$6))-1)*100,0)</f>
        <v>2.4304416563410314</v>
      </c>
    </row>
    <row r="11" spans="1:25" x14ac:dyDescent="0.3">
      <c r="A11" s="329" t="str">
        <f>name!D6</f>
        <v>21 Science, research, engineering and technology professionals</v>
      </c>
      <c r="B11" s="330">
        <v>325.31581099614459</v>
      </c>
      <c r="C11" s="330">
        <v>1259.7640860814031</v>
      </c>
      <c r="D11" s="330">
        <f t="shared" si="0"/>
        <v>1585.0798970775477</v>
      </c>
      <c r="E11" s="331"/>
      <c r="F11" s="330">
        <v>441.34607486463847</v>
      </c>
      <c r="G11" s="330">
        <v>1457.6517402402742</v>
      </c>
      <c r="H11" s="330">
        <f t="shared" si="1"/>
        <v>1898.9978151049127</v>
      </c>
      <c r="I11" s="331"/>
      <c r="J11" s="330">
        <v>622.3834851824696</v>
      </c>
      <c r="K11" s="330">
        <v>1619.0496933815643</v>
      </c>
      <c r="L11" s="330">
        <f t="shared" si="2"/>
        <v>2241.4331785640338</v>
      </c>
      <c r="M11" s="236"/>
      <c r="N11" s="328">
        <f t="shared" si="3"/>
        <v>6.2905904109751498</v>
      </c>
      <c r="O11" s="328">
        <f t="shared" si="4"/>
        <v>2.317971022931653</v>
      </c>
      <c r="P11" s="328"/>
      <c r="Q11" s="328">
        <f t="shared" si="5"/>
        <v>2.9610375764343555</v>
      </c>
      <c r="R11" s="328">
        <f t="shared" si="6"/>
        <v>0.70254048014193327</v>
      </c>
      <c r="S11" s="327"/>
      <c r="T11" s="328">
        <f t="shared" si="7"/>
        <v>3.6799219059761024</v>
      </c>
      <c r="U11" s="328">
        <f t="shared" si="8"/>
        <v>1.1113918569869208</v>
      </c>
    </row>
    <row r="12" spans="1:25" x14ac:dyDescent="0.3">
      <c r="A12" s="329" t="str">
        <f>name!D7</f>
        <v>22 Health professionals</v>
      </c>
      <c r="B12" s="330">
        <v>879.00595687022053</v>
      </c>
      <c r="C12" s="330">
        <v>290.43686339058593</v>
      </c>
      <c r="D12" s="330">
        <f t="shared" si="0"/>
        <v>1169.4428202608065</v>
      </c>
      <c r="E12" s="331"/>
      <c r="F12" s="330">
        <v>991.26898159125392</v>
      </c>
      <c r="G12" s="330">
        <v>362.46900566429906</v>
      </c>
      <c r="H12" s="330">
        <f t="shared" si="1"/>
        <v>1353.737987255553</v>
      </c>
      <c r="I12" s="331"/>
      <c r="J12" s="330">
        <v>1167.9044024666046</v>
      </c>
      <c r="K12" s="330">
        <v>420.52992829177492</v>
      </c>
      <c r="L12" s="330">
        <f t="shared" si="2"/>
        <v>1588.4343307583795</v>
      </c>
      <c r="M12" s="236"/>
      <c r="N12" s="328">
        <f t="shared" si="3"/>
        <v>2.4330111805333399</v>
      </c>
      <c r="O12" s="328">
        <f t="shared" si="4"/>
        <v>1.0991999001131569</v>
      </c>
      <c r="P12" s="328"/>
      <c r="Q12" s="328">
        <f t="shared" si="5"/>
        <v>4.5306925406434884</v>
      </c>
      <c r="R12" s="328">
        <f t="shared" si="6"/>
        <v>0.99543300558178061</v>
      </c>
      <c r="S12" s="327"/>
      <c r="T12" s="328">
        <f t="shared" si="7"/>
        <v>2.9700976944833979</v>
      </c>
      <c r="U12" s="328">
        <f t="shared" si="8"/>
        <v>1.0715617886405626</v>
      </c>
    </row>
    <row r="13" spans="1:25" x14ac:dyDescent="0.3">
      <c r="A13" s="329" t="str">
        <f>name!D8</f>
        <v>23 Teaching and other educational professionals</v>
      </c>
      <c r="B13" s="330">
        <v>896.6394009170308</v>
      </c>
      <c r="C13" s="330">
        <v>465.10978424210231</v>
      </c>
      <c r="D13" s="330">
        <f t="shared" si="0"/>
        <v>1361.749185159133</v>
      </c>
      <c r="E13" s="331"/>
      <c r="F13" s="330">
        <v>1011.8428797522325</v>
      </c>
      <c r="G13" s="330">
        <v>488.66186759089578</v>
      </c>
      <c r="H13" s="330">
        <f t="shared" si="1"/>
        <v>1500.5047473431282</v>
      </c>
      <c r="I13" s="331"/>
      <c r="J13" s="330">
        <v>1134.543251505017</v>
      </c>
      <c r="K13" s="330">
        <v>564.79643396783615</v>
      </c>
      <c r="L13" s="330">
        <f t="shared" si="2"/>
        <v>1699.339685472853</v>
      </c>
      <c r="M13" s="236"/>
      <c r="N13" s="328">
        <f t="shared" si="3"/>
        <v>2.4469544440765656</v>
      </c>
      <c r="O13" s="328">
        <f t="shared" si="4"/>
        <v>0.76596425672939006</v>
      </c>
      <c r="P13" s="328"/>
      <c r="Q13" s="328">
        <f t="shared" si="5"/>
        <v>0.99284229967786519</v>
      </c>
      <c r="R13" s="328">
        <f t="shared" si="6"/>
        <v>0.96997135121896783</v>
      </c>
      <c r="S13" s="327"/>
      <c r="T13" s="328">
        <f t="shared" si="7"/>
        <v>1.9595828464245235</v>
      </c>
      <c r="U13" s="328">
        <f t="shared" si="8"/>
        <v>0.83303865401318511</v>
      </c>
    </row>
    <row r="14" spans="1:25" x14ac:dyDescent="0.3">
      <c r="A14" s="329" t="str">
        <f>name!D9</f>
        <v>24 Business, media and public service professionals</v>
      </c>
      <c r="B14" s="330">
        <v>739.89337028246007</v>
      </c>
      <c r="C14" s="330">
        <v>1057.078509263207</v>
      </c>
      <c r="D14" s="330">
        <f t="shared" si="0"/>
        <v>1796.971879545667</v>
      </c>
      <c r="E14" s="331"/>
      <c r="F14" s="330">
        <v>1020.1699836225596</v>
      </c>
      <c r="G14" s="330">
        <v>1269.4975134502063</v>
      </c>
      <c r="H14" s="330">
        <f t="shared" si="1"/>
        <v>2289.6674970727659</v>
      </c>
      <c r="I14" s="331"/>
      <c r="J14" s="330">
        <v>1320.1172392779663</v>
      </c>
      <c r="K14" s="330">
        <v>1563.3594353607639</v>
      </c>
      <c r="L14" s="330">
        <f t="shared" si="2"/>
        <v>2883.4766746387304</v>
      </c>
      <c r="M14" s="236"/>
      <c r="N14" s="328">
        <f t="shared" si="3"/>
        <v>6.6352228907129662</v>
      </c>
      <c r="O14" s="328">
        <f t="shared" si="4"/>
        <v>1.7331903299776519</v>
      </c>
      <c r="P14" s="328"/>
      <c r="Q14" s="328">
        <f t="shared" si="5"/>
        <v>3.7301300051352015</v>
      </c>
      <c r="R14" s="328">
        <f t="shared" si="6"/>
        <v>1.3977844276637619</v>
      </c>
      <c r="S14" s="327"/>
      <c r="T14" s="328">
        <f t="shared" si="7"/>
        <v>4.9654151116733658</v>
      </c>
      <c r="U14" s="328">
        <f t="shared" si="8"/>
        <v>1.5491443092783497</v>
      </c>
    </row>
    <row r="15" spans="1:25" x14ac:dyDescent="0.3">
      <c r="A15" s="329" t="str">
        <f>name!D10</f>
        <v>31 Science, engineering and technology associate professionals</v>
      </c>
      <c r="B15" s="330">
        <v>127.96651912533001</v>
      </c>
      <c r="C15" s="330">
        <v>335.31622358632461</v>
      </c>
      <c r="D15" s="330">
        <f t="shared" si="0"/>
        <v>463.28274271165463</v>
      </c>
      <c r="E15" s="331"/>
      <c r="F15" s="330">
        <v>166.26061128193439</v>
      </c>
      <c r="G15" s="330">
        <v>425.45347934567582</v>
      </c>
      <c r="H15" s="330">
        <f t="shared" si="1"/>
        <v>591.71409062761018</v>
      </c>
      <c r="I15" s="331"/>
      <c r="J15" s="330">
        <v>204.11331260630206</v>
      </c>
      <c r="K15" s="330">
        <v>357.29156698295992</v>
      </c>
      <c r="L15" s="330">
        <f t="shared" si="2"/>
        <v>561.40487958926201</v>
      </c>
      <c r="M15" s="236"/>
      <c r="N15" s="328">
        <f t="shared" si="3"/>
        <v>5.3752464243236098</v>
      </c>
      <c r="O15" s="328">
        <f t="shared" si="4"/>
        <v>1.3768510711312354</v>
      </c>
      <c r="P15" s="328"/>
      <c r="Q15" s="328">
        <f t="shared" si="5"/>
        <v>4.8768181018040924</v>
      </c>
      <c r="R15" s="328">
        <f t="shared" si="6"/>
        <v>-1.1572744467560514</v>
      </c>
      <c r="S15" s="327"/>
      <c r="T15" s="328">
        <f t="shared" si="7"/>
        <v>5.0154403194468511</v>
      </c>
      <c r="U15" s="328">
        <f t="shared" si="8"/>
        <v>-0.34992770423570851</v>
      </c>
    </row>
    <row r="16" spans="1:25" x14ac:dyDescent="0.3">
      <c r="A16" s="329" t="str">
        <f>name!D11</f>
        <v>32 Health and social care associate professionals</v>
      </c>
      <c r="B16" s="330">
        <v>378.51027285005705</v>
      </c>
      <c r="C16" s="330">
        <v>114.49174703160232</v>
      </c>
      <c r="D16" s="330">
        <f t="shared" si="0"/>
        <v>493.00201988165935</v>
      </c>
      <c r="E16" s="331"/>
      <c r="F16" s="330">
        <v>438.87726586328404</v>
      </c>
      <c r="G16" s="330">
        <v>129.88613167068607</v>
      </c>
      <c r="H16" s="330">
        <f t="shared" si="1"/>
        <v>568.76339753397008</v>
      </c>
      <c r="I16" s="331"/>
      <c r="J16" s="330">
        <v>506.09638642414427</v>
      </c>
      <c r="K16" s="330">
        <v>125.92776715752774</v>
      </c>
      <c r="L16" s="330">
        <f t="shared" si="2"/>
        <v>632.02415358167195</v>
      </c>
      <c r="M16" s="236"/>
      <c r="N16" s="328">
        <f t="shared" si="3"/>
        <v>3.003761066223154</v>
      </c>
      <c r="O16" s="328">
        <f t="shared" si="4"/>
        <v>0.95457622930450459</v>
      </c>
      <c r="P16" s="328"/>
      <c r="Q16" s="328">
        <f t="shared" si="5"/>
        <v>2.5552080658008292</v>
      </c>
      <c r="R16" s="328">
        <f t="shared" si="6"/>
        <v>-0.20611855241899901</v>
      </c>
      <c r="S16" s="327"/>
      <c r="T16" s="328">
        <f t="shared" si="7"/>
        <v>2.9002875168829378</v>
      </c>
      <c r="U16" s="328">
        <f t="shared" si="8"/>
        <v>0.70556469457463411</v>
      </c>
    </row>
    <row r="17" spans="1:21" x14ac:dyDescent="0.3">
      <c r="A17" s="329" t="str">
        <f>name!D12</f>
        <v>33 Protective service occupations</v>
      </c>
      <c r="B17" s="330">
        <v>64.813944086716745</v>
      </c>
      <c r="C17" s="330">
        <v>229.71943815941165</v>
      </c>
      <c r="D17" s="330">
        <f t="shared" si="0"/>
        <v>294.53338224612838</v>
      </c>
      <c r="E17" s="331"/>
      <c r="F17" s="330">
        <v>81.683205259849089</v>
      </c>
      <c r="G17" s="330">
        <v>240.01153300204598</v>
      </c>
      <c r="H17" s="330">
        <f t="shared" si="1"/>
        <v>321.69473826189505</v>
      </c>
      <c r="I17" s="331"/>
      <c r="J17" s="330">
        <v>144.74862894900483</v>
      </c>
      <c r="K17" s="330">
        <v>297.39809617999998</v>
      </c>
      <c r="L17" s="330">
        <f t="shared" si="2"/>
        <v>442.14672512900484</v>
      </c>
      <c r="M17" s="236"/>
      <c r="N17" s="328">
        <f t="shared" si="3"/>
        <v>4.735247712789481</v>
      </c>
      <c r="O17" s="328">
        <f t="shared" si="4"/>
        <v>3.8880144274352713</v>
      </c>
      <c r="P17" s="328"/>
      <c r="Q17" s="328">
        <f t="shared" si="5"/>
        <v>0.88041800298224171</v>
      </c>
      <c r="R17" s="328">
        <f t="shared" si="6"/>
        <v>1.4394933800401022</v>
      </c>
      <c r="S17" s="327"/>
      <c r="T17" s="328">
        <f t="shared" si="7"/>
        <v>1.7798687702756277</v>
      </c>
      <c r="U17" s="328">
        <f t="shared" si="8"/>
        <v>2.1428952180943206</v>
      </c>
    </row>
    <row r="18" spans="1:21" x14ac:dyDescent="0.3">
      <c r="A18" s="329" t="str">
        <f>name!D13</f>
        <v>34 Culture, media and sports occupations</v>
      </c>
      <c r="B18" s="330">
        <v>280.02872797154504</v>
      </c>
      <c r="C18" s="330">
        <v>347.34112331081229</v>
      </c>
      <c r="D18" s="330">
        <f t="shared" si="0"/>
        <v>627.36985128235733</v>
      </c>
      <c r="E18" s="331"/>
      <c r="F18" s="330">
        <v>328.80917681702982</v>
      </c>
      <c r="G18" s="330">
        <v>349.86571390066342</v>
      </c>
      <c r="H18" s="330">
        <f t="shared" si="1"/>
        <v>678.67489071769319</v>
      </c>
      <c r="I18" s="331"/>
      <c r="J18" s="330">
        <v>359.8698043571124</v>
      </c>
      <c r="K18" s="330">
        <v>386.57977765691373</v>
      </c>
      <c r="L18" s="330">
        <f t="shared" si="2"/>
        <v>746.44958201402619</v>
      </c>
      <c r="M18" s="236"/>
      <c r="N18" s="328">
        <f t="shared" si="3"/>
        <v>3.2638394371637069</v>
      </c>
      <c r="O18" s="328">
        <f t="shared" si="4"/>
        <v>0.6035791668120849</v>
      </c>
      <c r="P18" s="328"/>
      <c r="Q18" s="328">
        <f t="shared" si="5"/>
        <v>0.14494584389379561</v>
      </c>
      <c r="R18" s="328">
        <f t="shared" si="6"/>
        <v>0.66747676917036092</v>
      </c>
      <c r="S18" s="327"/>
      <c r="T18" s="328">
        <f t="shared" si="7"/>
        <v>1.5845421248475544</v>
      </c>
      <c r="U18" s="328">
        <f t="shared" si="8"/>
        <v>0.63659013431611733</v>
      </c>
    </row>
    <row r="19" spans="1:21" x14ac:dyDescent="0.3">
      <c r="A19" s="329" t="str">
        <f>name!D14</f>
        <v>35 Business and public service associate professionals</v>
      </c>
      <c r="B19" s="330">
        <v>828.93169448996821</v>
      </c>
      <c r="C19" s="330">
        <v>965.95917277592878</v>
      </c>
      <c r="D19" s="330">
        <f t="shared" si="0"/>
        <v>1794.890867265897</v>
      </c>
      <c r="E19" s="331"/>
      <c r="F19" s="330">
        <v>939.04357251018348</v>
      </c>
      <c r="G19" s="330">
        <v>1052.4349280010256</v>
      </c>
      <c r="H19" s="330">
        <f t="shared" si="1"/>
        <v>1991.4785005112089</v>
      </c>
      <c r="I19" s="331"/>
      <c r="J19" s="330">
        <v>1025.0824111516172</v>
      </c>
      <c r="K19" s="330">
        <v>986.77342770073051</v>
      </c>
      <c r="L19" s="330">
        <f t="shared" si="2"/>
        <v>2011.8558388523477</v>
      </c>
      <c r="M19" s="236"/>
      <c r="N19" s="328">
        <f t="shared" si="3"/>
        <v>2.5258550232390542</v>
      </c>
      <c r="O19" s="328">
        <f t="shared" si="4"/>
        <v>0.58615392006222677</v>
      </c>
      <c r="P19" s="328"/>
      <c r="Q19" s="328">
        <f t="shared" si="5"/>
        <v>1.7295905236951903</v>
      </c>
      <c r="R19" s="328">
        <f t="shared" si="6"/>
        <v>-0.4285542805616438</v>
      </c>
      <c r="S19" s="327"/>
      <c r="T19" s="328">
        <f t="shared" si="7"/>
        <v>2.1004167757346925</v>
      </c>
      <c r="U19" s="328">
        <f t="shared" si="8"/>
        <v>6.7891509494111268E-2</v>
      </c>
    </row>
    <row r="20" spans="1:21" x14ac:dyDescent="0.3">
      <c r="A20" s="329" t="str">
        <f>name!D15</f>
        <v>41 Administrative occupations</v>
      </c>
      <c r="B20" s="330">
        <v>1781.4729749685393</v>
      </c>
      <c r="C20" s="330">
        <v>727.83657437185593</v>
      </c>
      <c r="D20" s="330">
        <f t="shared" si="0"/>
        <v>2509.3095493403953</v>
      </c>
      <c r="E20" s="331"/>
      <c r="F20" s="330">
        <v>1752.6230130138795</v>
      </c>
      <c r="G20" s="330">
        <v>821.77107881001939</v>
      </c>
      <c r="H20" s="330">
        <f t="shared" si="1"/>
        <v>2574.3940918238986</v>
      </c>
      <c r="I20" s="331"/>
      <c r="J20" s="330">
        <v>1401.1804913952133</v>
      </c>
      <c r="K20" s="330">
        <v>845.4746752433706</v>
      </c>
      <c r="L20" s="330">
        <f t="shared" si="2"/>
        <v>2246.655166638584</v>
      </c>
      <c r="M20" s="236"/>
      <c r="N20" s="328">
        <f t="shared" si="3"/>
        <v>-0.32600755343499266</v>
      </c>
      <c r="O20" s="328">
        <f t="shared" si="4"/>
        <v>-1.4809145887154651</v>
      </c>
      <c r="P20" s="328"/>
      <c r="Q20" s="328">
        <f t="shared" si="5"/>
        <v>2.4574152430376861</v>
      </c>
      <c r="R20" s="328">
        <f t="shared" si="6"/>
        <v>0.1897554892951625</v>
      </c>
      <c r="S20" s="327"/>
      <c r="T20" s="328">
        <f t="shared" si="7"/>
        <v>0.51344497255396693</v>
      </c>
      <c r="U20" s="328">
        <f t="shared" si="8"/>
        <v>-0.90370306633363873</v>
      </c>
    </row>
    <row r="21" spans="1:21" x14ac:dyDescent="0.3">
      <c r="A21" s="329" t="str">
        <f>name!D16</f>
        <v>42 Secretarial and related occupations</v>
      </c>
      <c r="B21" s="330">
        <v>594.09075815304334</v>
      </c>
      <c r="C21" s="330">
        <v>46.093453153348051</v>
      </c>
      <c r="D21" s="330">
        <f t="shared" si="0"/>
        <v>640.18421130639138</v>
      </c>
      <c r="E21" s="331"/>
      <c r="F21" s="330">
        <v>537.75583086200299</v>
      </c>
      <c r="G21" s="330">
        <v>34.880414988977662</v>
      </c>
      <c r="H21" s="330">
        <f t="shared" si="1"/>
        <v>572.63624585098069</v>
      </c>
      <c r="I21" s="331"/>
      <c r="J21" s="330">
        <v>418.32446896030871</v>
      </c>
      <c r="K21" s="330">
        <v>55.142420484503241</v>
      </c>
      <c r="L21" s="330">
        <f t="shared" si="2"/>
        <v>473.46688944481195</v>
      </c>
      <c r="M21" s="236"/>
      <c r="N21" s="328">
        <f t="shared" si="3"/>
        <v>-1.9728296825764158</v>
      </c>
      <c r="O21" s="328">
        <f t="shared" si="4"/>
        <v>-1.6603761704954811</v>
      </c>
      <c r="P21" s="328"/>
      <c r="Q21" s="328">
        <f t="shared" si="5"/>
        <v>-5.4223585203550861</v>
      </c>
      <c r="R21" s="328">
        <f t="shared" si="6"/>
        <v>3.1003830487686512</v>
      </c>
      <c r="S21" s="327"/>
      <c r="T21" s="328">
        <f t="shared" si="7"/>
        <v>-2.2054224534958311</v>
      </c>
      <c r="U21" s="328">
        <f t="shared" si="8"/>
        <v>-1.2597887675764308</v>
      </c>
    </row>
    <row r="22" spans="1:21" x14ac:dyDescent="0.3">
      <c r="A22" s="329" t="str">
        <f>name!D17</f>
        <v>51 Skilled agricultural and related trades</v>
      </c>
      <c r="B22" s="330">
        <v>48.197532284540223</v>
      </c>
      <c r="C22" s="330">
        <v>250.64111379511544</v>
      </c>
      <c r="D22" s="330">
        <f t="shared" si="0"/>
        <v>298.83864607965569</v>
      </c>
      <c r="E22" s="331"/>
      <c r="F22" s="330">
        <v>54.746357413507347</v>
      </c>
      <c r="G22" s="330">
        <v>216.4917872484462</v>
      </c>
      <c r="H22" s="330">
        <f t="shared" si="1"/>
        <v>271.23814466195353</v>
      </c>
      <c r="I22" s="331"/>
      <c r="J22" s="330">
        <v>76.434064494706206</v>
      </c>
      <c r="K22" s="330">
        <v>232.90152987381191</v>
      </c>
      <c r="L22" s="330">
        <f t="shared" si="2"/>
        <v>309.33559436851812</v>
      </c>
      <c r="M22" s="236"/>
      <c r="N22" s="328">
        <f t="shared" si="3"/>
        <v>2.5808008047337294</v>
      </c>
      <c r="O22" s="328">
        <f t="shared" si="4"/>
        <v>2.2497170944500544</v>
      </c>
      <c r="P22" s="328"/>
      <c r="Q22" s="328">
        <f t="shared" si="5"/>
        <v>-2.8868988590410427</v>
      </c>
      <c r="R22" s="328">
        <f t="shared" si="6"/>
        <v>0.48827575406369395</v>
      </c>
      <c r="S22" s="327"/>
      <c r="T22" s="328">
        <f t="shared" si="7"/>
        <v>-1.9194706789793181</v>
      </c>
      <c r="U22" s="328">
        <f t="shared" si="8"/>
        <v>0.8800468813655149</v>
      </c>
    </row>
    <row r="23" spans="1:21" x14ac:dyDescent="0.3">
      <c r="A23" s="329" t="str">
        <f>name!D18</f>
        <v>52 Skilled metal, electrical and electronic trades</v>
      </c>
      <c r="B23" s="330">
        <v>18.135005820620453</v>
      </c>
      <c r="C23" s="330">
        <v>1024.0224599930325</v>
      </c>
      <c r="D23" s="330">
        <f t="shared" si="0"/>
        <v>1042.1574658136531</v>
      </c>
      <c r="E23" s="331"/>
      <c r="F23" s="330">
        <v>23.473031777086184</v>
      </c>
      <c r="G23" s="330">
        <v>902.88263585794652</v>
      </c>
      <c r="H23" s="330">
        <f t="shared" si="1"/>
        <v>926.35566763503266</v>
      </c>
      <c r="I23" s="331"/>
      <c r="J23" s="330">
        <v>67.27497872179913</v>
      </c>
      <c r="K23" s="330">
        <v>805.40123660550387</v>
      </c>
      <c r="L23" s="330">
        <f t="shared" si="2"/>
        <v>872.676215327303</v>
      </c>
      <c r="M23" s="236"/>
      <c r="N23" s="328">
        <f t="shared" si="3"/>
        <v>5.2956179003339487</v>
      </c>
      <c r="O23" s="328">
        <f t="shared" si="4"/>
        <v>7.2718141855306895</v>
      </c>
      <c r="P23" s="328"/>
      <c r="Q23" s="328">
        <f t="shared" si="5"/>
        <v>-2.4865855229406875</v>
      </c>
      <c r="R23" s="328">
        <f t="shared" si="6"/>
        <v>-0.75878650126981473</v>
      </c>
      <c r="S23" s="327"/>
      <c r="T23" s="328">
        <f t="shared" si="7"/>
        <v>-2.3282691912877906</v>
      </c>
      <c r="U23" s="328">
        <f t="shared" si="8"/>
        <v>-0.39716687477457935</v>
      </c>
    </row>
    <row r="24" spans="1:21" x14ac:dyDescent="0.3">
      <c r="A24" s="329" t="str">
        <f>name!D19</f>
        <v>53 Skilled construction and building trades</v>
      </c>
      <c r="B24" s="330">
        <v>14.726618684604235</v>
      </c>
      <c r="C24" s="330">
        <v>903.50029006499324</v>
      </c>
      <c r="D24" s="330">
        <f t="shared" si="0"/>
        <v>918.22690874959744</v>
      </c>
      <c r="E24" s="331"/>
      <c r="F24" s="330">
        <v>18.520535026156988</v>
      </c>
      <c r="G24" s="330">
        <v>749.05260189348758</v>
      </c>
      <c r="H24" s="330">
        <f t="shared" si="1"/>
        <v>767.57313691964453</v>
      </c>
      <c r="I24" s="331"/>
      <c r="J24" s="330">
        <v>24.873956786388767</v>
      </c>
      <c r="K24" s="330">
        <v>738.35548474687459</v>
      </c>
      <c r="L24" s="330">
        <f t="shared" si="2"/>
        <v>763.22944153326341</v>
      </c>
      <c r="M24" s="236"/>
      <c r="N24" s="328">
        <f t="shared" si="3"/>
        <v>4.6911805966880271</v>
      </c>
      <c r="O24" s="328">
        <f t="shared" si="4"/>
        <v>1.9857333506014818</v>
      </c>
      <c r="P24" s="328"/>
      <c r="Q24" s="328">
        <f t="shared" si="5"/>
        <v>-3.6799267657898205</v>
      </c>
      <c r="R24" s="328">
        <f t="shared" si="6"/>
        <v>-9.5846140036293104E-2</v>
      </c>
      <c r="S24" s="327"/>
      <c r="T24" s="328">
        <f t="shared" si="7"/>
        <v>-3.5207429894939968</v>
      </c>
      <c r="U24" s="328">
        <f t="shared" si="8"/>
        <v>-3.7826653931716248E-2</v>
      </c>
    </row>
    <row r="25" spans="1:21" x14ac:dyDescent="0.3">
      <c r="A25" s="329" t="str">
        <f>name!D20</f>
        <v>54 Textiles, printing and other skilled trades</v>
      </c>
      <c r="B25" s="330">
        <v>228.69974084486122</v>
      </c>
      <c r="C25" s="330">
        <v>401.76819481597698</v>
      </c>
      <c r="D25" s="330">
        <f t="shared" si="0"/>
        <v>630.46793566083818</v>
      </c>
      <c r="E25" s="331"/>
      <c r="F25" s="330">
        <v>226.09309750491133</v>
      </c>
      <c r="G25" s="330">
        <v>319.01820087382151</v>
      </c>
      <c r="H25" s="330">
        <f t="shared" si="1"/>
        <v>545.11129837873284</v>
      </c>
      <c r="I25" s="331"/>
      <c r="J25" s="330">
        <v>231.63809994412549</v>
      </c>
      <c r="K25" s="330">
        <v>317.25887537678119</v>
      </c>
      <c r="L25" s="330">
        <f t="shared" si="2"/>
        <v>548.89697532090668</v>
      </c>
      <c r="M25" s="236"/>
      <c r="N25" s="328">
        <f t="shared" si="3"/>
        <v>-0.22899974558205916</v>
      </c>
      <c r="O25" s="328">
        <f t="shared" si="4"/>
        <v>0.16165979136650854</v>
      </c>
      <c r="P25" s="328"/>
      <c r="Q25" s="328">
        <f t="shared" si="5"/>
        <v>-4.5077818403734931</v>
      </c>
      <c r="R25" s="328">
        <f t="shared" si="6"/>
        <v>-3.6860371654368063E-2</v>
      </c>
      <c r="S25" s="327"/>
      <c r="T25" s="328">
        <f t="shared" si="7"/>
        <v>-2.8675292689798404</v>
      </c>
      <c r="U25" s="328">
        <f t="shared" si="8"/>
        <v>4.6149139312379184E-2</v>
      </c>
    </row>
    <row r="26" spans="1:21" x14ac:dyDescent="0.3">
      <c r="A26" s="329" t="str">
        <f>name!D21</f>
        <v>61 Caring personal service occupations</v>
      </c>
      <c r="B26" s="330">
        <v>1718.9869815702225</v>
      </c>
      <c r="C26" s="330">
        <v>311.25983263375065</v>
      </c>
      <c r="D26" s="330">
        <f t="shared" si="0"/>
        <v>2030.2468142039731</v>
      </c>
      <c r="E26" s="331"/>
      <c r="F26" s="330">
        <v>1713.009333099815</v>
      </c>
      <c r="G26" s="330">
        <v>312.97511016662554</v>
      </c>
      <c r="H26" s="330">
        <f t="shared" si="1"/>
        <v>2025.9844432664404</v>
      </c>
      <c r="I26" s="331"/>
      <c r="J26" s="330">
        <v>1964.0288361684375</v>
      </c>
      <c r="K26" s="330">
        <v>450.22291537054377</v>
      </c>
      <c r="L26" s="330">
        <f t="shared" si="2"/>
        <v>2414.2517515389814</v>
      </c>
      <c r="M26" s="236"/>
      <c r="N26" s="328">
        <f t="shared" si="3"/>
        <v>-6.9645444150079339E-2</v>
      </c>
      <c r="O26" s="328">
        <f t="shared" si="4"/>
        <v>0.9158096039923791</v>
      </c>
      <c r="P26" s="328"/>
      <c r="Q26" s="328">
        <f t="shared" si="5"/>
        <v>0.10997300746884431</v>
      </c>
      <c r="R26" s="328">
        <f t="shared" si="6"/>
        <v>2.4537485775073753</v>
      </c>
      <c r="S26" s="327"/>
      <c r="T26" s="328">
        <f t="shared" si="7"/>
        <v>-4.202400270986173E-2</v>
      </c>
      <c r="U26" s="328">
        <f t="shared" si="8"/>
        <v>1.175749416158367</v>
      </c>
    </row>
    <row r="27" spans="1:21" x14ac:dyDescent="0.3">
      <c r="A27" s="329" t="str">
        <f>name!D22</f>
        <v>62 Leisure, travel and related personal service occupations</v>
      </c>
      <c r="B27" s="330">
        <v>442.70881565524837</v>
      </c>
      <c r="C27" s="330">
        <v>184.68109088265959</v>
      </c>
      <c r="D27" s="330">
        <f t="shared" si="0"/>
        <v>627.38990653790802</v>
      </c>
      <c r="E27" s="331"/>
      <c r="F27" s="330">
        <v>428.3314209079445</v>
      </c>
      <c r="G27" s="330">
        <v>197.13555286994591</v>
      </c>
      <c r="H27" s="330">
        <f t="shared" si="1"/>
        <v>625.46697377789042</v>
      </c>
      <c r="I27" s="331"/>
      <c r="J27" s="330">
        <v>438.37596135232826</v>
      </c>
      <c r="K27" s="330">
        <v>223.67395237106967</v>
      </c>
      <c r="L27" s="330">
        <f t="shared" si="2"/>
        <v>662.04991372339794</v>
      </c>
      <c r="M27" s="236"/>
      <c r="N27" s="328">
        <f t="shared" si="3"/>
        <v>-0.65812499016745241</v>
      </c>
      <c r="O27" s="328">
        <f t="shared" si="4"/>
        <v>0.15465051144698538</v>
      </c>
      <c r="P27" s="328"/>
      <c r="Q27" s="328">
        <f t="shared" si="5"/>
        <v>1.3137766612254964</v>
      </c>
      <c r="R27" s="328">
        <f t="shared" si="6"/>
        <v>0.84554029498695726</v>
      </c>
      <c r="S27" s="327"/>
      <c r="T27" s="328">
        <f t="shared" si="7"/>
        <v>-6.1374739345365636E-2</v>
      </c>
      <c r="U27" s="328">
        <f t="shared" si="8"/>
        <v>0.37966840586167727</v>
      </c>
    </row>
    <row r="28" spans="1:21" x14ac:dyDescent="0.3">
      <c r="A28" s="329" t="str">
        <f>name!D23</f>
        <v>63 Community and civil enforcement occupations</v>
      </c>
      <c r="B28" s="330">
        <v>6.549437671839911</v>
      </c>
      <c r="C28" s="330">
        <v>22.290786952543883</v>
      </c>
      <c r="D28" s="330">
        <f t="shared" si="0"/>
        <v>28.840224624383794</v>
      </c>
      <c r="E28" s="331"/>
      <c r="F28" s="330">
        <v>7.0323452975752208</v>
      </c>
      <c r="G28" s="330">
        <v>24.710118111484132</v>
      </c>
      <c r="H28" s="330">
        <f t="shared" si="1"/>
        <v>31.742463409059354</v>
      </c>
      <c r="I28" s="331"/>
      <c r="J28" s="330">
        <v>9.1923185743974862</v>
      </c>
      <c r="K28" s="330">
        <v>18.627168891848136</v>
      </c>
      <c r="L28" s="330">
        <f>SUM(J28:K28)</f>
        <v>27.819487466245622</v>
      </c>
      <c r="M28" s="236"/>
      <c r="N28" s="328">
        <f t="shared" si="3"/>
        <v>1.4329916528902809</v>
      </c>
      <c r="O28" s="328">
        <f t="shared" si="4"/>
        <v>1.8016909994700292</v>
      </c>
      <c r="P28" s="328"/>
      <c r="Q28" s="328">
        <f t="shared" si="5"/>
        <v>2.0821677917579606</v>
      </c>
      <c r="R28" s="328">
        <f t="shared" si="6"/>
        <v>-1.866308641714165</v>
      </c>
      <c r="S28" s="327"/>
      <c r="T28" s="328">
        <f t="shared" si="7"/>
        <v>1.9361901365344547</v>
      </c>
      <c r="U28" s="328">
        <f t="shared" si="8"/>
        <v>-0.87560116228071472</v>
      </c>
    </row>
    <row r="29" spans="1:21" x14ac:dyDescent="0.3">
      <c r="A29" s="329" t="str">
        <f>name!D24</f>
        <v>71 Sales occupations</v>
      </c>
      <c r="B29" s="330">
        <v>1198.4813946697545</v>
      </c>
      <c r="C29" s="330">
        <v>793.63754454260584</v>
      </c>
      <c r="D29" s="330">
        <f t="shared" si="0"/>
        <v>1992.1189392123604</v>
      </c>
      <c r="E29" s="331"/>
      <c r="F29" s="330">
        <v>1080.6558997762857</v>
      </c>
      <c r="G29" s="330">
        <v>771.65082315172208</v>
      </c>
      <c r="H29" s="330">
        <f t="shared" si="1"/>
        <v>1852.3067229280077</v>
      </c>
      <c r="I29" s="331"/>
      <c r="J29" s="330">
        <v>923.92953561000832</v>
      </c>
      <c r="K29" s="330">
        <v>714.91978445695713</v>
      </c>
      <c r="L29" s="330">
        <f t="shared" si="2"/>
        <v>1638.8493200669654</v>
      </c>
      <c r="M29" s="236"/>
      <c r="N29" s="328">
        <f t="shared" si="3"/>
        <v>-2.0484694514030011</v>
      </c>
      <c r="O29" s="328">
        <f t="shared" si="4"/>
        <v>-1.0391474444202853</v>
      </c>
      <c r="P29" s="328"/>
      <c r="Q29" s="328">
        <f t="shared" si="5"/>
        <v>-0.56031868452898204</v>
      </c>
      <c r="R29" s="328">
        <f t="shared" si="6"/>
        <v>-0.5077850524015437</v>
      </c>
      <c r="S29" s="327"/>
      <c r="T29" s="328">
        <f t="shared" si="7"/>
        <v>-1.4448036019851673</v>
      </c>
      <c r="U29" s="328">
        <f t="shared" si="8"/>
        <v>-0.81292691960827002</v>
      </c>
    </row>
    <row r="30" spans="1:21" x14ac:dyDescent="0.3">
      <c r="A30" s="329" t="str">
        <f>name!D25</f>
        <v>72 Customer service occupations</v>
      </c>
      <c r="B30" s="330">
        <v>278.05279602438247</v>
      </c>
      <c r="C30" s="330">
        <v>181.54292303428872</v>
      </c>
      <c r="D30" s="330">
        <f t="shared" si="0"/>
        <v>459.59571905867119</v>
      </c>
      <c r="E30" s="331"/>
      <c r="F30" s="330">
        <v>312.0078580771488</v>
      </c>
      <c r="G30" s="330">
        <v>198.01870062968607</v>
      </c>
      <c r="H30" s="330">
        <f t="shared" si="1"/>
        <v>510.02655870683486</v>
      </c>
      <c r="I30" s="331"/>
      <c r="J30" s="330">
        <v>427.21496131997407</v>
      </c>
      <c r="K30" s="330">
        <v>322.73100541151939</v>
      </c>
      <c r="L30" s="330">
        <f t="shared" si="2"/>
        <v>749.9459667314934</v>
      </c>
      <c r="M30" s="236"/>
      <c r="N30" s="328">
        <f t="shared" si="3"/>
        <v>2.3311024820999782</v>
      </c>
      <c r="O30" s="328">
        <f t="shared" si="4"/>
        <v>2.1171600103596422</v>
      </c>
      <c r="P30" s="328"/>
      <c r="Q30" s="328">
        <f t="shared" si="5"/>
        <v>1.7525675083315262</v>
      </c>
      <c r="R30" s="328">
        <f t="shared" si="6"/>
        <v>3.3099851144751113</v>
      </c>
      <c r="S30" s="327"/>
      <c r="T30" s="328">
        <f t="shared" si="7"/>
        <v>2.1041427488282638</v>
      </c>
      <c r="U30" s="328">
        <f t="shared" si="8"/>
        <v>2.603571623501244</v>
      </c>
    </row>
    <row r="31" spans="1:21" x14ac:dyDescent="0.3">
      <c r="A31" s="329" t="str">
        <f>name!D26</f>
        <v>81 Process, plant and machine operatives</v>
      </c>
      <c r="B31" s="330">
        <v>156.32690354304097</v>
      </c>
      <c r="C31" s="330">
        <v>556.98642676520933</v>
      </c>
      <c r="D31" s="330">
        <f t="shared" si="0"/>
        <v>713.31333030825033</v>
      </c>
      <c r="E31" s="331"/>
      <c r="F31" s="330">
        <v>139.99484233801778</v>
      </c>
      <c r="G31" s="330">
        <v>467.28705132247853</v>
      </c>
      <c r="H31" s="330">
        <f t="shared" si="1"/>
        <v>607.28189366049628</v>
      </c>
      <c r="I31" s="331"/>
      <c r="J31" s="330">
        <v>178.00460630790263</v>
      </c>
      <c r="K31" s="330">
        <v>538.38676386550969</v>
      </c>
      <c r="L31" s="330">
        <f t="shared" si="2"/>
        <v>716.39137017341227</v>
      </c>
      <c r="M31" s="236"/>
      <c r="N31" s="328">
        <f t="shared" si="3"/>
        <v>-2.1827020315789425</v>
      </c>
      <c r="O31" s="328">
        <f t="shared" si="4"/>
        <v>1.6142494458680767</v>
      </c>
      <c r="P31" s="328"/>
      <c r="Q31" s="328">
        <f t="shared" si="5"/>
        <v>-3.4509895520170031</v>
      </c>
      <c r="R31" s="328">
        <f t="shared" si="6"/>
        <v>0.94869487637894157</v>
      </c>
      <c r="S31" s="327"/>
      <c r="T31" s="328">
        <f t="shared" si="7"/>
        <v>-3.1673095902230886</v>
      </c>
      <c r="U31" s="328">
        <f t="shared" si="8"/>
        <v>1.1076463841997342</v>
      </c>
    </row>
    <row r="32" spans="1:21" x14ac:dyDescent="0.3">
      <c r="A32" s="329" t="str">
        <f>name!D27</f>
        <v>82 Transport and mobile machine drivers and operatives</v>
      </c>
      <c r="B32" s="330">
        <v>65.339961617798281</v>
      </c>
      <c r="C32" s="330">
        <v>988.67241243807359</v>
      </c>
      <c r="D32" s="330">
        <f t="shared" si="0"/>
        <v>1054.012374055872</v>
      </c>
      <c r="E32" s="331"/>
      <c r="F32" s="330">
        <v>62.663474124240551</v>
      </c>
      <c r="G32" s="330">
        <v>992.19217650976475</v>
      </c>
      <c r="H32" s="330">
        <f t="shared" si="1"/>
        <v>1054.8556506340053</v>
      </c>
      <c r="I32" s="331"/>
      <c r="J32" s="330">
        <v>105.77369496232032</v>
      </c>
      <c r="K32" s="330">
        <v>1029.9222053166914</v>
      </c>
      <c r="L32" s="330">
        <f t="shared" si="2"/>
        <v>1135.6959002790118</v>
      </c>
      <c r="M32" s="236"/>
      <c r="N32" s="328">
        <f t="shared" si="3"/>
        <v>-0.83301287294108572</v>
      </c>
      <c r="O32" s="328">
        <f t="shared" si="4"/>
        <v>3.5517748817075701</v>
      </c>
      <c r="P32" s="328"/>
      <c r="Q32" s="328">
        <f t="shared" si="5"/>
        <v>7.1100648399768929E-2</v>
      </c>
      <c r="R32" s="328">
        <f t="shared" si="6"/>
        <v>0.24912135758599074</v>
      </c>
      <c r="S32" s="327"/>
      <c r="T32" s="328">
        <f t="shared" si="7"/>
        <v>1.599614688623241E-2</v>
      </c>
      <c r="U32" s="328">
        <f t="shared" si="8"/>
        <v>0.49349139431074107</v>
      </c>
    </row>
    <row r="33" spans="1:21" x14ac:dyDescent="0.3">
      <c r="A33" s="329" t="str">
        <f>name!D28</f>
        <v>91 Elementary trades and related occupations</v>
      </c>
      <c r="B33" s="330">
        <v>111.56944953454895</v>
      </c>
      <c r="C33" s="330">
        <v>364.33938357079484</v>
      </c>
      <c r="D33" s="330">
        <f t="shared" si="0"/>
        <v>475.90883310534377</v>
      </c>
      <c r="E33" s="331"/>
      <c r="F33" s="330">
        <v>80.226392539542701</v>
      </c>
      <c r="G33" s="330">
        <v>301.1258194791863</v>
      </c>
      <c r="H33" s="330">
        <f t="shared" si="1"/>
        <v>381.35221201872901</v>
      </c>
      <c r="I33" s="331"/>
      <c r="J33" s="330">
        <v>67.668584072857882</v>
      </c>
      <c r="K33" s="330">
        <v>237.55461649335294</v>
      </c>
      <c r="L33" s="330">
        <f t="shared" si="2"/>
        <v>305.22320056621083</v>
      </c>
      <c r="M33" s="236"/>
      <c r="N33" s="328">
        <f t="shared" si="3"/>
        <v>-6.3830700758062413</v>
      </c>
      <c r="O33" s="328">
        <f t="shared" si="4"/>
        <v>-1.1284547655709853</v>
      </c>
      <c r="P33" s="328"/>
      <c r="Q33" s="328">
        <f t="shared" si="5"/>
        <v>-3.739441936918364</v>
      </c>
      <c r="R33" s="328">
        <f t="shared" si="6"/>
        <v>-1.5684406326793021</v>
      </c>
      <c r="S33" s="327"/>
      <c r="T33" s="328">
        <f t="shared" si="7"/>
        <v>-4.3333644293368607</v>
      </c>
      <c r="U33" s="328">
        <f t="shared" si="8"/>
        <v>-1.4735689558833864</v>
      </c>
    </row>
    <row r="34" spans="1:21" x14ac:dyDescent="0.3">
      <c r="A34" s="329" t="str">
        <f>name!D29</f>
        <v>92 Elementary administration and service occupations</v>
      </c>
      <c r="B34" s="330">
        <v>1425.2731921947943</v>
      </c>
      <c r="C34" s="330">
        <v>1401.0103376941017</v>
      </c>
      <c r="D34" s="330">
        <f t="shared" si="0"/>
        <v>2826.2835298888958</v>
      </c>
      <c r="E34" s="331"/>
      <c r="F34" s="330">
        <v>1325.0826428203436</v>
      </c>
      <c r="G34" s="330">
        <v>1295.0761240716754</v>
      </c>
      <c r="H34" s="330">
        <f t="shared" si="1"/>
        <v>2620.1587668920192</v>
      </c>
      <c r="I34" s="331"/>
      <c r="J34" s="330">
        <v>1271.7814097262924</v>
      </c>
      <c r="K34" s="330">
        <v>1330.0956427135461</v>
      </c>
      <c r="L34" s="330">
        <f t="shared" si="2"/>
        <v>2601.8770524398387</v>
      </c>
      <c r="M34" s="236"/>
      <c r="N34" s="328">
        <f t="shared" si="3"/>
        <v>-1.4471995197910537</v>
      </c>
      <c r="O34" s="328">
        <f t="shared" si="4"/>
        <v>-0.27333394056074933</v>
      </c>
      <c r="P34" s="328"/>
      <c r="Q34" s="328">
        <f t="shared" si="5"/>
        <v>-1.5601844233740891</v>
      </c>
      <c r="R34" s="328">
        <f t="shared" si="6"/>
        <v>0.17803412604813218</v>
      </c>
      <c r="S34" s="327"/>
      <c r="T34" s="328">
        <f t="shared" si="7"/>
        <v>-1.503142203104002</v>
      </c>
      <c r="U34" s="328">
        <f t="shared" si="8"/>
        <v>-4.6667681845269371E-2</v>
      </c>
    </row>
    <row r="35" spans="1:21" x14ac:dyDescent="0.3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3">
      <c r="A36" s="332" t="str">
        <f>name!D3</f>
        <v>All occupations</v>
      </c>
      <c r="B36" s="333">
        <f>SUM(B9:B34)</f>
        <v>13558.877999996661</v>
      </c>
      <c r="C36" s="333">
        <f t="shared" ref="C36:D36" si="9">SUM(C9:C34)</f>
        <v>15097.294000001106</v>
      </c>
      <c r="D36" s="333">
        <f t="shared" si="9"/>
        <v>28656.171999997765</v>
      </c>
      <c r="E36" s="333"/>
      <c r="F36" s="333">
        <f>SUM(F9:F34)</f>
        <v>14380.16499999489</v>
      </c>
      <c r="G36" s="333">
        <f t="shared" ref="G36:H36" si="10">SUM(G9:G34)</f>
        <v>15479.516000000145</v>
      </c>
      <c r="H36" s="333">
        <f t="shared" si="10"/>
        <v>29859.680999995035</v>
      </c>
      <c r="I36" s="333"/>
      <c r="J36" s="333">
        <f>SUM(J9:J34)</f>
        <v>15586.583999998773</v>
      </c>
      <c r="K36" s="333">
        <f t="shared" ref="K36:L36" si="11">SUM(K9:K34)</f>
        <v>16483.507000000143</v>
      </c>
      <c r="L36" s="333">
        <f t="shared" si="11"/>
        <v>32070.090999998902</v>
      </c>
      <c r="M36" s="258"/>
      <c r="N36" s="334">
        <f t="shared" si="3"/>
        <v>1.1831098432651288</v>
      </c>
      <c r="O36" s="334">
        <f t="shared" si="4"/>
        <v>0.5385162657690179</v>
      </c>
      <c r="P36" s="334"/>
      <c r="Q36" s="334">
        <f t="shared" si="5"/>
        <v>0.50129387555879479</v>
      </c>
      <c r="R36" s="334">
        <f t="shared" si="6"/>
        <v>0.41983018617468559</v>
      </c>
      <c r="S36" s="334"/>
      <c r="T36" s="334">
        <f t="shared" si="7"/>
        <v>0.82619957207423766</v>
      </c>
      <c r="U36" s="334">
        <f t="shared" si="8"/>
        <v>0.477233431154378</v>
      </c>
    </row>
    <row r="37" spans="1:21" x14ac:dyDescent="0.3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3">
      <c r="A40" s="241"/>
      <c r="B40" s="373"/>
      <c r="C40" s="373"/>
      <c r="D40" s="373"/>
      <c r="E40" s="253"/>
      <c r="F40" s="373"/>
      <c r="G40" s="373"/>
      <c r="H40" s="373"/>
      <c r="I40" s="253"/>
      <c r="J40" s="373"/>
      <c r="K40" s="373"/>
      <c r="L40" s="373"/>
      <c r="M40" s="236"/>
    </row>
    <row r="41" spans="1:21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3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3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3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3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3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3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3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3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3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3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3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3">
      <c r="A57" s="241"/>
      <c r="B57" s="373"/>
      <c r="C57" s="373"/>
      <c r="D57" s="373"/>
      <c r="E57" s="253"/>
      <c r="F57" s="373"/>
      <c r="G57" s="373"/>
      <c r="H57" s="373"/>
      <c r="I57" s="253"/>
      <c r="J57" s="373"/>
      <c r="K57" s="373"/>
      <c r="L57" s="373"/>
      <c r="M57" s="236"/>
    </row>
    <row r="58" spans="1: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3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3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3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3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3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3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3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3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3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3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3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3">
      <c r="A74" s="241"/>
      <c r="B74" s="373"/>
      <c r="C74" s="373"/>
      <c r="D74" s="373"/>
      <c r="E74" s="253"/>
      <c r="F74" s="373"/>
      <c r="G74" s="373"/>
      <c r="H74" s="373"/>
      <c r="I74" s="253"/>
      <c r="J74" s="373"/>
      <c r="K74" s="373"/>
      <c r="L74" s="373"/>
      <c r="M74" s="236"/>
    </row>
    <row r="75" spans="1: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3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3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3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3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3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3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3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3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3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3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3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3">
      <c r="A91" s="241"/>
      <c r="B91" s="373"/>
      <c r="C91" s="373"/>
      <c r="D91" s="373"/>
      <c r="E91" s="253"/>
      <c r="F91" s="373"/>
      <c r="G91" s="373"/>
      <c r="H91" s="373"/>
      <c r="I91" s="253"/>
      <c r="J91" s="373"/>
      <c r="K91" s="373"/>
      <c r="L91" s="373"/>
      <c r="M91" s="236"/>
    </row>
    <row r="92" spans="1: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3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3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3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3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3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3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3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3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3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3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3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3">
      <c r="A108" s="241"/>
      <c r="B108" s="373"/>
      <c r="C108" s="373"/>
      <c r="D108" s="373"/>
      <c r="E108" s="253"/>
      <c r="F108" s="373"/>
      <c r="G108" s="373"/>
      <c r="H108" s="373"/>
      <c r="I108" s="253"/>
      <c r="J108" s="373"/>
      <c r="K108" s="373"/>
      <c r="L108" s="373"/>
      <c r="M108" s="236"/>
    </row>
    <row r="109" spans="1: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3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3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3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3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3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3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3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3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3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3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3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3">
      <c r="A125" s="241"/>
      <c r="B125" s="373"/>
      <c r="C125" s="373"/>
      <c r="D125" s="373"/>
      <c r="E125" s="253"/>
      <c r="F125" s="373"/>
      <c r="G125" s="373"/>
      <c r="H125" s="373"/>
      <c r="I125" s="253"/>
      <c r="J125" s="373"/>
      <c r="K125" s="373"/>
      <c r="L125" s="373"/>
      <c r="M125" s="236"/>
    </row>
    <row r="126" spans="1: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3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3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3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3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3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3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3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3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3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3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3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3">
      <c r="A142" s="241"/>
      <c r="B142" s="373"/>
      <c r="C142" s="373"/>
      <c r="D142" s="373"/>
      <c r="E142" s="253"/>
      <c r="F142" s="373"/>
      <c r="G142" s="373"/>
      <c r="H142" s="373"/>
      <c r="I142" s="253"/>
      <c r="J142" s="373"/>
      <c r="K142" s="373"/>
      <c r="L142" s="373"/>
      <c r="M142" s="236"/>
    </row>
    <row r="143" spans="1: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3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3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3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3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3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3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3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3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3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3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3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3">
      <c r="A159" s="241"/>
      <c r="B159" s="373"/>
      <c r="C159" s="373"/>
      <c r="D159" s="373"/>
      <c r="E159" s="253"/>
      <c r="F159" s="373"/>
      <c r="G159" s="373"/>
      <c r="H159" s="373"/>
      <c r="I159" s="253"/>
      <c r="J159" s="373"/>
      <c r="K159" s="373"/>
      <c r="L159" s="373"/>
      <c r="M159" s="236"/>
    </row>
    <row r="160" spans="1: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3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3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3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3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3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3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3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3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3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3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3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3">
      <c r="A176" s="241"/>
      <c r="B176" s="373"/>
      <c r="C176" s="373"/>
      <c r="D176" s="373"/>
      <c r="E176" s="253"/>
      <c r="F176" s="373"/>
      <c r="G176" s="373"/>
      <c r="H176" s="373"/>
      <c r="I176" s="253"/>
      <c r="J176" s="373"/>
      <c r="K176" s="373"/>
      <c r="L176" s="373"/>
      <c r="M176" s="236"/>
    </row>
    <row r="177" spans="1: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3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3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3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3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3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3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3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3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3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3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3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3">
      <c r="A193" s="241"/>
      <c r="B193" s="373"/>
      <c r="C193" s="373"/>
      <c r="D193" s="373"/>
      <c r="E193" s="253"/>
      <c r="F193" s="373"/>
      <c r="G193" s="373"/>
      <c r="H193" s="373"/>
      <c r="I193" s="253"/>
      <c r="J193" s="373"/>
      <c r="K193" s="373"/>
      <c r="L193" s="373"/>
      <c r="M193" s="236"/>
    </row>
    <row r="194" spans="1: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3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3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3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3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3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3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3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3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3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3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3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3">
      <c r="A210" s="241"/>
      <c r="B210" s="373"/>
      <c r="C210" s="373"/>
      <c r="D210" s="373"/>
      <c r="E210" s="253"/>
      <c r="F210" s="373"/>
      <c r="G210" s="373"/>
      <c r="H210" s="373"/>
      <c r="I210" s="253"/>
      <c r="J210" s="373"/>
      <c r="K210" s="373"/>
      <c r="L210" s="373"/>
      <c r="M210" s="236"/>
    </row>
    <row r="211" spans="1: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3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3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3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3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3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3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3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3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3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3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3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3">
      <c r="A227" s="241"/>
      <c r="B227" s="373"/>
      <c r="C227" s="373"/>
      <c r="D227" s="373"/>
      <c r="E227" s="253"/>
      <c r="F227" s="373"/>
      <c r="G227" s="373"/>
      <c r="H227" s="373"/>
      <c r="I227" s="253"/>
      <c r="J227" s="373"/>
      <c r="K227" s="373"/>
      <c r="L227" s="373"/>
      <c r="M227" s="236"/>
    </row>
    <row r="228" spans="1: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3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3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3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3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3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3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3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3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3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3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3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3">
      <c r="A244" s="241"/>
      <c r="B244" s="373"/>
      <c r="C244" s="373"/>
      <c r="D244" s="373"/>
      <c r="E244" s="253"/>
      <c r="F244" s="373"/>
      <c r="G244" s="373"/>
      <c r="H244" s="373"/>
      <c r="I244" s="253"/>
      <c r="J244" s="373"/>
      <c r="K244" s="373"/>
      <c r="L244" s="373"/>
      <c r="M244" s="236"/>
    </row>
    <row r="245" spans="1: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3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3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3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3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3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3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3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3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3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3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3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3">
      <c r="A261" s="241"/>
      <c r="B261" s="373"/>
      <c r="C261" s="373"/>
      <c r="D261" s="373"/>
      <c r="E261" s="253"/>
      <c r="F261" s="373"/>
      <c r="G261" s="373"/>
      <c r="H261" s="373"/>
      <c r="I261" s="253"/>
      <c r="J261" s="373"/>
      <c r="K261" s="373"/>
      <c r="L261" s="373"/>
      <c r="M261" s="236"/>
    </row>
    <row r="262" spans="1: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3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3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3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3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3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3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3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3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3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3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3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3">
      <c r="A278" s="241"/>
      <c r="B278" s="373"/>
      <c r="C278" s="373"/>
      <c r="D278" s="373"/>
      <c r="E278" s="253"/>
      <c r="F278" s="373"/>
      <c r="G278" s="373"/>
      <c r="H278" s="373"/>
      <c r="I278" s="253"/>
      <c r="J278" s="373"/>
      <c r="K278" s="373"/>
      <c r="L278" s="373"/>
      <c r="M278" s="236"/>
    </row>
    <row r="279" spans="1: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3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3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3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3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3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3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3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3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3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3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3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3">
      <c r="A295" s="241"/>
      <c r="B295" s="373"/>
      <c r="C295" s="373"/>
      <c r="D295" s="373"/>
      <c r="E295" s="253"/>
      <c r="F295" s="373"/>
      <c r="G295" s="373"/>
      <c r="H295" s="373"/>
      <c r="I295" s="253"/>
      <c r="J295" s="373"/>
      <c r="K295" s="373"/>
      <c r="L295" s="373"/>
      <c r="M295" s="236"/>
    </row>
    <row r="296" spans="1: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3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3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3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3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3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3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3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3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3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3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3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3">
      <c r="A312" s="241"/>
      <c r="B312" s="373"/>
      <c r="C312" s="373"/>
      <c r="D312" s="373"/>
      <c r="E312" s="253"/>
      <c r="F312" s="373"/>
      <c r="G312" s="373"/>
      <c r="H312" s="373"/>
      <c r="I312" s="253"/>
      <c r="J312" s="373"/>
      <c r="K312" s="373"/>
      <c r="L312" s="373"/>
      <c r="M312" s="236"/>
    </row>
    <row r="313" spans="1: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3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3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3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3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3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3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3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3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3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3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3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3">
      <c r="A329" s="241"/>
      <c r="B329" s="373"/>
      <c r="C329" s="373"/>
      <c r="D329" s="373"/>
      <c r="E329" s="253"/>
      <c r="F329" s="373"/>
      <c r="G329" s="373"/>
      <c r="H329" s="373"/>
      <c r="I329" s="253"/>
      <c r="J329" s="373"/>
      <c r="K329" s="373"/>
      <c r="L329" s="373"/>
      <c r="M329" s="236"/>
    </row>
    <row r="330" spans="1: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3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3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3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3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3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3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3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3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3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3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3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3">
      <c r="A346" s="241"/>
      <c r="B346" s="373"/>
      <c r="C346" s="373"/>
      <c r="D346" s="373"/>
      <c r="E346" s="253"/>
      <c r="F346" s="373"/>
      <c r="G346" s="373"/>
      <c r="H346" s="373"/>
      <c r="I346" s="253"/>
      <c r="J346" s="373"/>
      <c r="K346" s="373"/>
      <c r="L346" s="373"/>
      <c r="M346" s="236"/>
    </row>
    <row r="347" spans="1: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3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3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3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3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3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3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3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3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3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3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3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3">
      <c r="A363" s="241"/>
      <c r="B363" s="373"/>
      <c r="C363" s="373"/>
      <c r="D363" s="373"/>
      <c r="E363" s="253"/>
      <c r="F363" s="373"/>
      <c r="G363" s="373"/>
      <c r="H363" s="373"/>
      <c r="I363" s="253"/>
      <c r="J363" s="373"/>
      <c r="K363" s="373"/>
      <c r="L363" s="373"/>
      <c r="M363" s="236"/>
    </row>
    <row r="364" spans="1: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3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3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3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3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3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3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3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3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3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3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3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3">
      <c r="A380" s="241"/>
      <c r="B380" s="373"/>
      <c r="C380" s="373"/>
      <c r="D380" s="373"/>
      <c r="E380" s="253"/>
      <c r="F380" s="373"/>
      <c r="G380" s="373"/>
      <c r="H380" s="373"/>
      <c r="I380" s="253"/>
      <c r="J380" s="373"/>
      <c r="K380" s="373"/>
      <c r="L380" s="373"/>
      <c r="M380" s="236"/>
    </row>
    <row r="381" spans="1: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3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3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3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3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3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3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3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3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3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3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3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3">
      <c r="A397" s="241"/>
      <c r="B397" s="373"/>
      <c r="C397" s="373"/>
      <c r="D397" s="373"/>
      <c r="E397" s="253"/>
      <c r="F397" s="373"/>
      <c r="G397" s="373"/>
      <c r="H397" s="373"/>
      <c r="I397" s="253"/>
      <c r="J397" s="373"/>
      <c r="K397" s="373"/>
      <c r="L397" s="373"/>
      <c r="M397" s="236"/>
    </row>
    <row r="398" spans="1: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3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3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3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3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3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3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3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3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3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3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3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3">
      <c r="A414" s="241"/>
      <c r="B414" s="373"/>
      <c r="C414" s="373"/>
      <c r="D414" s="373"/>
      <c r="E414" s="253"/>
      <c r="F414" s="373"/>
      <c r="G414" s="373"/>
      <c r="H414" s="373"/>
      <c r="I414" s="253"/>
      <c r="J414" s="373"/>
      <c r="K414" s="373"/>
      <c r="L414" s="373"/>
      <c r="M414" s="236"/>
    </row>
    <row r="415" spans="1: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3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3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3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3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3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3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3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3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3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3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3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3">
      <c r="A431" s="241"/>
      <c r="B431" s="373"/>
      <c r="C431" s="373"/>
      <c r="D431" s="373"/>
      <c r="E431" s="253"/>
      <c r="F431" s="373"/>
      <c r="G431" s="373"/>
      <c r="H431" s="373"/>
      <c r="I431" s="253"/>
      <c r="J431" s="373"/>
      <c r="K431" s="373"/>
      <c r="L431" s="373"/>
      <c r="M431" s="236"/>
    </row>
    <row r="432" spans="1: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3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3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3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3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3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3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3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3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3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3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3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3">
      <c r="A448" s="241"/>
      <c r="B448" s="373"/>
      <c r="C448" s="373"/>
      <c r="D448" s="373"/>
      <c r="E448" s="253"/>
      <c r="F448" s="373"/>
      <c r="G448" s="373"/>
      <c r="H448" s="373"/>
      <c r="I448" s="253"/>
      <c r="J448" s="373"/>
      <c r="K448" s="373"/>
      <c r="L448" s="373"/>
      <c r="M448" s="236"/>
    </row>
    <row r="449" spans="1: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3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3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3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3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3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3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3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3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3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3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3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3">
      <c r="A465" s="241"/>
      <c r="B465" s="373"/>
      <c r="C465" s="373"/>
      <c r="D465" s="373"/>
      <c r="E465" s="253"/>
      <c r="F465" s="373"/>
      <c r="G465" s="373"/>
      <c r="H465" s="373"/>
      <c r="I465" s="253"/>
      <c r="J465" s="373"/>
      <c r="K465" s="373"/>
      <c r="L465" s="373"/>
      <c r="M465" s="236"/>
    </row>
    <row r="466" spans="1: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3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3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3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3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3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3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3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3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3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3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3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3">
      <c r="A482" s="241"/>
      <c r="B482" s="373"/>
      <c r="C482" s="373"/>
      <c r="D482" s="373"/>
      <c r="E482" s="253"/>
      <c r="F482" s="373"/>
      <c r="G482" s="373"/>
      <c r="H482" s="373"/>
      <c r="I482" s="253"/>
      <c r="J482" s="373"/>
      <c r="K482" s="373"/>
      <c r="L482" s="373"/>
      <c r="M482" s="236"/>
    </row>
    <row r="483" spans="1: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3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3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3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3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3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3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3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3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3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3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3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3">
      <c r="A499" s="241"/>
      <c r="B499" s="373"/>
      <c r="C499" s="373"/>
      <c r="D499" s="373"/>
      <c r="E499" s="253"/>
      <c r="F499" s="373"/>
      <c r="G499" s="373"/>
      <c r="H499" s="373"/>
      <c r="I499" s="253"/>
      <c r="J499" s="373"/>
      <c r="K499" s="373"/>
      <c r="L499" s="373"/>
      <c r="M499" s="236"/>
    </row>
    <row r="500" spans="1: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3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3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3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3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3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3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3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3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3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3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3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3">
      <c r="A516" s="241"/>
      <c r="B516" s="373"/>
      <c r="C516" s="373"/>
      <c r="D516" s="373"/>
      <c r="E516" s="253"/>
      <c r="F516" s="373"/>
      <c r="G516" s="373"/>
      <c r="H516" s="373"/>
      <c r="I516" s="253"/>
      <c r="J516" s="373"/>
      <c r="K516" s="373"/>
      <c r="L516" s="373"/>
      <c r="M516" s="236"/>
    </row>
    <row r="517" spans="1: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3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3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3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3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3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3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3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3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3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3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3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3">
      <c r="A533" s="241"/>
      <c r="B533" s="373"/>
      <c r="C533" s="373"/>
      <c r="D533" s="373"/>
      <c r="E533" s="253"/>
      <c r="F533" s="373"/>
      <c r="G533" s="373"/>
      <c r="H533" s="373"/>
      <c r="I533" s="253"/>
      <c r="J533" s="373"/>
      <c r="K533" s="373"/>
      <c r="L533" s="373"/>
      <c r="M533" s="236"/>
    </row>
    <row r="534" spans="1: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3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3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3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3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3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3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3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3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3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3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3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3">
      <c r="A550" s="241"/>
      <c r="B550" s="373"/>
      <c r="C550" s="373"/>
      <c r="D550" s="373"/>
      <c r="E550" s="253"/>
      <c r="F550" s="373"/>
      <c r="G550" s="373"/>
      <c r="H550" s="373"/>
      <c r="I550" s="253"/>
      <c r="J550" s="373"/>
      <c r="K550" s="373"/>
      <c r="L550" s="373"/>
      <c r="M550" s="236"/>
    </row>
    <row r="551" spans="1: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3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3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3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3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3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3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3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3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3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3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3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3">
      <c r="A567" s="241"/>
      <c r="B567" s="373"/>
      <c r="C567" s="373"/>
      <c r="D567" s="373"/>
      <c r="E567" s="253"/>
      <c r="F567" s="373"/>
      <c r="G567" s="373"/>
      <c r="H567" s="373"/>
      <c r="I567" s="253"/>
      <c r="J567" s="373"/>
      <c r="K567" s="373"/>
      <c r="L567" s="373"/>
      <c r="M567" s="236"/>
    </row>
    <row r="568" spans="1: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3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3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3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3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3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3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3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3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3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3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3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3">
      <c r="A584" s="241"/>
      <c r="B584" s="373"/>
      <c r="C584" s="373"/>
      <c r="D584" s="373"/>
      <c r="E584" s="253"/>
      <c r="F584" s="373"/>
      <c r="G584" s="373"/>
      <c r="H584" s="373"/>
      <c r="I584" s="253"/>
      <c r="J584" s="373"/>
      <c r="K584" s="373"/>
      <c r="L584" s="373"/>
      <c r="M584" s="236"/>
    </row>
    <row r="585" spans="1: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3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3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3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3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3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3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3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3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3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3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3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3">
      <c r="A601" s="241"/>
      <c r="B601" s="373"/>
      <c r="C601" s="373"/>
      <c r="D601" s="373"/>
      <c r="E601" s="253"/>
      <c r="F601" s="373"/>
      <c r="G601" s="373"/>
      <c r="H601" s="373"/>
      <c r="I601" s="253"/>
      <c r="J601" s="373"/>
      <c r="K601" s="373"/>
      <c r="L601" s="373"/>
      <c r="M601" s="236"/>
    </row>
    <row r="602" spans="1: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3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3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3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3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3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3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3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3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3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3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3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3">
      <c r="A618" s="241"/>
      <c r="B618" s="373"/>
      <c r="C618" s="373"/>
      <c r="D618" s="373"/>
      <c r="E618" s="253"/>
      <c r="F618" s="373"/>
      <c r="G618" s="373"/>
      <c r="H618" s="373"/>
      <c r="I618" s="253"/>
      <c r="J618" s="373"/>
      <c r="K618" s="373"/>
      <c r="L618" s="373"/>
      <c r="M618" s="236"/>
    </row>
    <row r="619" spans="1: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3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3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3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3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3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3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3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3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3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3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3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3">
      <c r="A635" s="241"/>
      <c r="B635" s="373"/>
      <c r="C635" s="373"/>
      <c r="D635" s="373"/>
      <c r="E635" s="253"/>
      <c r="F635" s="373"/>
      <c r="G635" s="373"/>
      <c r="H635" s="373"/>
      <c r="I635" s="253"/>
      <c r="J635" s="373"/>
      <c r="K635" s="373"/>
      <c r="L635" s="373"/>
      <c r="M635" s="236"/>
    </row>
    <row r="636" spans="1: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3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3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3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3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3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3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3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3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3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3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3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3">
      <c r="A652" s="241"/>
      <c r="B652" s="373"/>
      <c r="C652" s="373"/>
      <c r="D652" s="373"/>
      <c r="E652" s="253"/>
      <c r="F652" s="373"/>
      <c r="G652" s="373"/>
      <c r="H652" s="373"/>
      <c r="I652" s="253"/>
      <c r="J652" s="373"/>
      <c r="K652" s="373"/>
      <c r="L652" s="373"/>
      <c r="M652" s="236"/>
    </row>
    <row r="653" spans="1: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3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3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3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3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3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3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3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3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3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3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3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3">
      <c r="A669" s="241"/>
      <c r="B669" s="373"/>
      <c r="C669" s="373"/>
      <c r="D669" s="373"/>
      <c r="E669" s="253"/>
      <c r="F669" s="373"/>
      <c r="G669" s="373"/>
      <c r="H669" s="373"/>
      <c r="I669" s="253"/>
      <c r="J669" s="373"/>
      <c r="K669" s="373"/>
      <c r="L669" s="373"/>
      <c r="M669" s="236"/>
    </row>
    <row r="670" spans="1: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3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3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3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3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3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3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3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3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3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3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3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3">
      <c r="A686" s="241"/>
      <c r="B686" s="373"/>
      <c r="C686" s="373"/>
      <c r="D686" s="373"/>
      <c r="E686" s="253"/>
      <c r="F686" s="373"/>
      <c r="G686" s="373"/>
      <c r="H686" s="373"/>
      <c r="I686" s="253"/>
      <c r="J686" s="373"/>
      <c r="K686" s="373"/>
      <c r="L686" s="373"/>
      <c r="M686" s="236"/>
    </row>
    <row r="687" spans="1: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3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3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3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3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3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3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3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3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3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3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3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3">
      <c r="A703" s="241"/>
      <c r="B703" s="373"/>
      <c r="C703" s="373"/>
      <c r="D703" s="373"/>
      <c r="E703" s="253"/>
      <c r="F703" s="373"/>
      <c r="G703" s="373"/>
      <c r="H703" s="373"/>
      <c r="I703" s="253"/>
      <c r="J703" s="373"/>
      <c r="K703" s="373"/>
      <c r="L703" s="373"/>
      <c r="M703" s="236"/>
    </row>
    <row r="704" spans="1: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3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3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3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3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3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3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3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3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3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3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3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3">
      <c r="A720" s="241"/>
      <c r="B720" s="373"/>
      <c r="C720" s="373"/>
      <c r="D720" s="373"/>
      <c r="E720" s="253"/>
      <c r="F720" s="373"/>
      <c r="G720" s="373"/>
      <c r="H720" s="373"/>
      <c r="I720" s="253"/>
      <c r="J720" s="373"/>
      <c r="K720" s="373"/>
      <c r="L720" s="373"/>
      <c r="M720" s="236"/>
    </row>
    <row r="721" spans="1: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3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3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3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3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3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3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3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3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3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3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3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3">
      <c r="A737" s="241"/>
      <c r="B737" s="373"/>
      <c r="C737" s="373"/>
      <c r="D737" s="373"/>
      <c r="E737" s="253"/>
      <c r="F737" s="373"/>
      <c r="G737" s="373"/>
      <c r="H737" s="373"/>
      <c r="I737" s="253"/>
      <c r="J737" s="373"/>
      <c r="K737" s="373"/>
      <c r="L737" s="373"/>
      <c r="M737" s="236"/>
    </row>
    <row r="738" spans="1: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3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3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3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3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3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3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3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3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3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3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3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3">
      <c r="A754" s="241"/>
      <c r="B754" s="373"/>
      <c r="C754" s="373"/>
      <c r="D754" s="373"/>
      <c r="E754" s="253"/>
      <c r="F754" s="373"/>
      <c r="G754" s="373"/>
      <c r="H754" s="373"/>
      <c r="I754" s="253"/>
      <c r="J754" s="373"/>
      <c r="K754" s="373"/>
      <c r="L754" s="373"/>
      <c r="M754" s="236"/>
    </row>
    <row r="755" spans="1: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3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3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3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3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3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3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3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3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3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3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3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3">
      <c r="A771" s="241"/>
      <c r="B771" s="373"/>
      <c r="C771" s="373"/>
      <c r="D771" s="373"/>
      <c r="E771" s="253"/>
      <c r="F771" s="373"/>
      <c r="G771" s="373"/>
      <c r="H771" s="373"/>
      <c r="I771" s="253"/>
      <c r="J771" s="373"/>
      <c r="K771" s="373"/>
      <c r="L771" s="373"/>
      <c r="M771" s="236"/>
    </row>
    <row r="772" spans="1: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3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3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3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3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3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3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3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3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3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3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3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3">
      <c r="A788" s="241"/>
      <c r="B788" s="373"/>
      <c r="C788" s="373"/>
      <c r="D788" s="373"/>
      <c r="E788" s="253"/>
      <c r="F788" s="373"/>
      <c r="G788" s="373"/>
      <c r="H788" s="373"/>
      <c r="I788" s="253"/>
      <c r="J788" s="373"/>
      <c r="K788" s="373"/>
      <c r="L788" s="373"/>
      <c r="M788" s="236"/>
    </row>
    <row r="789" spans="1: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3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3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3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3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3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3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3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3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3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3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3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3">
      <c r="A805" s="241"/>
      <c r="B805" s="373"/>
      <c r="C805" s="373"/>
      <c r="D805" s="373"/>
      <c r="E805" s="253"/>
      <c r="F805" s="373"/>
      <c r="G805" s="373"/>
      <c r="H805" s="373"/>
      <c r="I805" s="253"/>
      <c r="J805" s="373"/>
      <c r="K805" s="373"/>
      <c r="L805" s="373"/>
      <c r="M805" s="236"/>
    </row>
    <row r="806" spans="1: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3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3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3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3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3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3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3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3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3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3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3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3">
      <c r="A822" s="241"/>
      <c r="B822" s="373"/>
      <c r="C822" s="373"/>
      <c r="D822" s="373"/>
      <c r="E822" s="253"/>
      <c r="F822" s="373"/>
      <c r="G822" s="373"/>
      <c r="H822" s="373"/>
      <c r="I822" s="253"/>
      <c r="J822" s="373"/>
      <c r="K822" s="373"/>
      <c r="L822" s="373"/>
      <c r="M822" s="236"/>
    </row>
    <row r="823" spans="1: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3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3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3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3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3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3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3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3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3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3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3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3">
      <c r="A839" s="241"/>
      <c r="B839" s="373"/>
      <c r="C839" s="373"/>
      <c r="D839" s="373"/>
      <c r="E839" s="253"/>
      <c r="F839" s="373"/>
      <c r="G839" s="373"/>
      <c r="H839" s="373"/>
      <c r="I839" s="253"/>
      <c r="J839" s="373"/>
      <c r="K839" s="373"/>
      <c r="L839" s="373"/>
      <c r="M839" s="236"/>
    </row>
    <row r="840" spans="1: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3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3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3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3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3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3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3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3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3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3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3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3">
      <c r="A856" s="241"/>
      <c r="B856" s="373"/>
      <c r="C856" s="373"/>
      <c r="D856" s="373"/>
      <c r="E856" s="253"/>
      <c r="F856" s="373"/>
      <c r="G856" s="373"/>
      <c r="H856" s="373"/>
      <c r="I856" s="253"/>
      <c r="J856" s="373"/>
      <c r="K856" s="373"/>
      <c r="L856" s="373"/>
      <c r="M856" s="236"/>
    </row>
    <row r="857" spans="1: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3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3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3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3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3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3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3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3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3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3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3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3">
      <c r="A873" s="241"/>
      <c r="B873" s="373"/>
      <c r="C873" s="373"/>
      <c r="D873" s="373"/>
      <c r="E873" s="253"/>
      <c r="F873" s="373"/>
      <c r="G873" s="373"/>
      <c r="H873" s="373"/>
      <c r="I873" s="253"/>
      <c r="J873" s="373"/>
      <c r="K873" s="373"/>
      <c r="L873" s="373"/>
      <c r="M873" s="236"/>
    </row>
    <row r="874" spans="1: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3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3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3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3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3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3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3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3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3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3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3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3">
      <c r="A890" s="241"/>
      <c r="B890" s="373"/>
      <c r="C890" s="373"/>
      <c r="D890" s="373"/>
      <c r="E890" s="253"/>
      <c r="F890" s="373"/>
      <c r="G890" s="373"/>
      <c r="H890" s="373"/>
      <c r="I890" s="253"/>
      <c r="J890" s="373"/>
      <c r="K890" s="373"/>
      <c r="L890" s="373"/>
      <c r="M890" s="236"/>
    </row>
    <row r="891" spans="1: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3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3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3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3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3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3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3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3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3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3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3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3">
      <c r="A907" s="241"/>
      <c r="B907" s="373"/>
      <c r="C907" s="373"/>
      <c r="D907" s="373"/>
      <c r="E907" s="253"/>
      <c r="F907" s="373"/>
      <c r="G907" s="373"/>
      <c r="H907" s="373"/>
      <c r="I907" s="253"/>
      <c r="J907" s="373"/>
      <c r="K907" s="373"/>
      <c r="L907" s="373"/>
      <c r="M907" s="236"/>
    </row>
    <row r="908" spans="1: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3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3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3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3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3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3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3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3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3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3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3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3">
      <c r="A924" s="241"/>
      <c r="B924" s="373"/>
      <c r="C924" s="373"/>
      <c r="D924" s="373"/>
      <c r="E924" s="253"/>
      <c r="F924" s="373"/>
      <c r="G924" s="373"/>
      <c r="H924" s="373"/>
      <c r="I924" s="253"/>
      <c r="J924" s="373"/>
      <c r="K924" s="373"/>
      <c r="L924" s="373"/>
      <c r="M924" s="236"/>
    </row>
    <row r="925" spans="1: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3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3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3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3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3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3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3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3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3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3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3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3">
      <c r="A941" s="241"/>
      <c r="B941" s="373"/>
      <c r="C941" s="373"/>
      <c r="D941" s="373"/>
      <c r="E941" s="253"/>
      <c r="F941" s="373"/>
      <c r="G941" s="373"/>
      <c r="H941" s="373"/>
      <c r="I941" s="253"/>
      <c r="J941" s="373"/>
      <c r="K941" s="373"/>
      <c r="L941" s="373"/>
      <c r="M941" s="236"/>
    </row>
    <row r="942" spans="1: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3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3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3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3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3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3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3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3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3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3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3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3">
      <c r="A958" s="241"/>
      <c r="B958" s="373"/>
      <c r="C958" s="373"/>
      <c r="D958" s="373"/>
      <c r="E958" s="253"/>
      <c r="F958" s="373"/>
      <c r="G958" s="373"/>
      <c r="H958" s="373"/>
      <c r="I958" s="253"/>
      <c r="J958" s="373"/>
      <c r="K958" s="373"/>
      <c r="L958" s="373"/>
      <c r="M958" s="236"/>
    </row>
    <row r="959" spans="1: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3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3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3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3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3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3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3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3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3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3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3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3">
      <c r="A975" s="241"/>
      <c r="B975" s="373"/>
      <c r="C975" s="373"/>
      <c r="D975" s="373"/>
      <c r="E975" s="253"/>
      <c r="F975" s="373"/>
      <c r="G975" s="373"/>
      <c r="H975" s="373"/>
      <c r="I975" s="253"/>
      <c r="J975" s="373"/>
      <c r="K975" s="373"/>
      <c r="L975" s="373"/>
      <c r="M975" s="236"/>
    </row>
    <row r="976" spans="1: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3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3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3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3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3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3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3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3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3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3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3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3">
      <c r="A992" s="241"/>
      <c r="B992" s="373"/>
      <c r="C992" s="373"/>
      <c r="D992" s="373"/>
      <c r="E992" s="253"/>
      <c r="F992" s="373"/>
      <c r="G992" s="373"/>
      <c r="H992" s="373"/>
      <c r="I992" s="253"/>
      <c r="J992" s="373"/>
      <c r="K992" s="373"/>
      <c r="L992" s="373"/>
      <c r="M992" s="236"/>
    </row>
    <row r="993" spans="1: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3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3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3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3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3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3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3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3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3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3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3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3">
      <c r="A1009" s="241"/>
      <c r="B1009" s="373"/>
      <c r="C1009" s="373"/>
      <c r="D1009" s="373"/>
      <c r="E1009" s="253"/>
      <c r="F1009" s="373"/>
      <c r="G1009" s="373"/>
      <c r="H1009" s="373"/>
      <c r="I1009" s="253"/>
      <c r="J1009" s="373"/>
      <c r="K1009" s="373"/>
      <c r="L1009" s="373"/>
      <c r="M1009" s="236"/>
    </row>
    <row r="1010" spans="1: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3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3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3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3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3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3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3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3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3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3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3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3">
      <c r="A1026" s="241"/>
      <c r="B1026" s="373"/>
      <c r="C1026" s="373"/>
      <c r="D1026" s="373"/>
      <c r="E1026" s="253"/>
      <c r="F1026" s="373"/>
      <c r="G1026" s="373"/>
      <c r="H1026" s="373"/>
      <c r="I1026" s="253"/>
      <c r="J1026" s="373"/>
      <c r="K1026" s="373"/>
      <c r="L1026" s="373"/>
      <c r="M1026" s="236"/>
    </row>
    <row r="1027" spans="1: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3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3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3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3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3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3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3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3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3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3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3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3">
      <c r="A1043" s="241"/>
      <c r="B1043" s="373"/>
      <c r="C1043" s="373"/>
      <c r="D1043" s="373"/>
      <c r="E1043" s="253"/>
      <c r="F1043" s="373"/>
      <c r="G1043" s="373"/>
      <c r="H1043" s="373"/>
      <c r="I1043" s="253"/>
      <c r="J1043" s="373"/>
      <c r="K1043" s="373"/>
      <c r="L1043" s="373"/>
      <c r="M1043" s="236"/>
    </row>
    <row r="1044" spans="1: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3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3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3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3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3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3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3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3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3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3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3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3">
      <c r="A1060" s="241"/>
      <c r="B1060" s="373"/>
      <c r="C1060" s="373"/>
      <c r="D1060" s="373"/>
      <c r="E1060" s="253"/>
      <c r="F1060" s="373"/>
      <c r="G1060" s="373"/>
      <c r="H1060" s="373"/>
      <c r="I1060" s="253"/>
      <c r="J1060" s="373"/>
      <c r="K1060" s="373"/>
      <c r="L1060" s="373"/>
      <c r="M1060" s="236"/>
    </row>
    <row r="1061" spans="1: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3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3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3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3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3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3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3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3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3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3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3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3">
      <c r="A1077" s="241"/>
      <c r="B1077" s="373"/>
      <c r="C1077" s="373"/>
      <c r="D1077" s="373"/>
      <c r="E1077" s="253"/>
      <c r="F1077" s="373"/>
      <c r="G1077" s="373"/>
      <c r="H1077" s="373"/>
      <c r="I1077" s="253"/>
      <c r="J1077" s="373"/>
      <c r="K1077" s="373"/>
      <c r="L1077" s="373"/>
      <c r="M1077" s="236"/>
    </row>
    <row r="1078" spans="1: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3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3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3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3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3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3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3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3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3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3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3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3">
      <c r="A1094" s="241"/>
      <c r="B1094" s="373"/>
      <c r="C1094" s="373"/>
      <c r="D1094" s="373"/>
      <c r="E1094" s="253"/>
      <c r="F1094" s="373"/>
      <c r="G1094" s="373"/>
      <c r="H1094" s="373"/>
      <c r="I1094" s="253"/>
      <c r="J1094" s="373"/>
      <c r="K1094" s="373"/>
      <c r="L1094" s="373"/>
      <c r="M1094" s="236"/>
    </row>
    <row r="1095" spans="1: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3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3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3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3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3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3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3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3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3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3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3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3">
      <c r="A1111" s="241"/>
      <c r="B1111" s="373"/>
      <c r="C1111" s="373"/>
      <c r="D1111" s="373"/>
      <c r="E1111" s="253"/>
      <c r="F1111" s="373"/>
      <c r="G1111" s="373"/>
      <c r="H1111" s="373"/>
      <c r="I1111" s="253"/>
      <c r="J1111" s="373"/>
      <c r="K1111" s="373"/>
      <c r="L1111" s="373"/>
      <c r="M1111" s="236"/>
    </row>
    <row r="1112" spans="1: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3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3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3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3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3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3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3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3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3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3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3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3">
      <c r="A1128" s="241"/>
      <c r="B1128" s="373"/>
      <c r="C1128" s="373"/>
      <c r="D1128" s="373"/>
      <c r="E1128" s="253"/>
      <c r="F1128" s="373"/>
      <c r="G1128" s="373"/>
      <c r="H1128" s="373"/>
      <c r="I1128" s="253"/>
      <c r="J1128" s="373"/>
      <c r="K1128" s="373"/>
      <c r="L1128" s="373"/>
      <c r="M1128" s="236"/>
    </row>
    <row r="1129" spans="1: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3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3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3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3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3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3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3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3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3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3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3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3">
      <c r="A1145" s="241"/>
      <c r="B1145" s="373"/>
      <c r="C1145" s="373"/>
      <c r="D1145" s="373"/>
      <c r="E1145" s="253"/>
      <c r="F1145" s="373"/>
      <c r="G1145" s="373"/>
      <c r="H1145" s="373"/>
      <c r="I1145" s="253"/>
      <c r="J1145" s="373"/>
      <c r="K1145" s="373"/>
      <c r="L1145" s="373"/>
      <c r="M1145" s="236"/>
    </row>
    <row r="1146" spans="1: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3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3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3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3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3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3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3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3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3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3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3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3">
      <c r="A1162" s="241"/>
      <c r="B1162" s="373"/>
      <c r="C1162" s="373"/>
      <c r="D1162" s="373"/>
      <c r="E1162" s="253"/>
      <c r="F1162" s="373"/>
      <c r="G1162" s="373"/>
      <c r="H1162" s="373"/>
      <c r="I1162" s="253"/>
      <c r="J1162" s="373"/>
      <c r="K1162" s="373"/>
      <c r="L1162" s="373"/>
      <c r="M1162" s="236"/>
    </row>
    <row r="1163" spans="1: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3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3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3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3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3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3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3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3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3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3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3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3">
      <c r="A1179" s="241"/>
      <c r="B1179" s="373"/>
      <c r="C1179" s="373"/>
      <c r="D1179" s="373"/>
      <c r="E1179" s="253"/>
      <c r="F1179" s="373"/>
      <c r="G1179" s="373"/>
      <c r="H1179" s="373"/>
      <c r="I1179" s="253"/>
      <c r="J1179" s="373"/>
      <c r="K1179" s="373"/>
      <c r="L1179" s="373"/>
      <c r="M1179" s="236"/>
    </row>
    <row r="1180" spans="1: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3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3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3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3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3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3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3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3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3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3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3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3">
      <c r="A1196" s="241"/>
      <c r="B1196" s="373"/>
      <c r="C1196" s="373"/>
      <c r="D1196" s="373"/>
      <c r="E1196" s="253"/>
      <c r="F1196" s="373"/>
      <c r="G1196" s="373"/>
      <c r="H1196" s="373"/>
      <c r="I1196" s="253"/>
      <c r="J1196" s="373"/>
      <c r="K1196" s="373"/>
      <c r="L1196" s="373"/>
      <c r="M1196" s="236"/>
    </row>
    <row r="1197" spans="1: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3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3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3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3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3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3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3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3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3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3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3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3">
      <c r="A1213" s="241"/>
      <c r="B1213" s="373"/>
      <c r="C1213" s="373"/>
      <c r="D1213" s="373"/>
      <c r="E1213" s="253"/>
      <c r="F1213" s="373"/>
      <c r="G1213" s="373"/>
      <c r="H1213" s="373"/>
      <c r="I1213" s="253"/>
      <c r="J1213" s="373"/>
      <c r="K1213" s="373"/>
      <c r="L1213" s="373"/>
      <c r="M1213" s="236"/>
    </row>
    <row r="1214" spans="1: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3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3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3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3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3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3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3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3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3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3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3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3">
      <c r="A1230" s="241"/>
      <c r="B1230" s="373"/>
      <c r="C1230" s="373"/>
      <c r="D1230" s="373"/>
      <c r="E1230" s="253"/>
      <c r="F1230" s="373"/>
      <c r="G1230" s="373"/>
      <c r="H1230" s="373"/>
      <c r="I1230" s="253"/>
      <c r="J1230" s="373"/>
      <c r="K1230" s="373"/>
      <c r="L1230" s="373"/>
      <c r="M1230" s="236"/>
    </row>
    <row r="1231" spans="1: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3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3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3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3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3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3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3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3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3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3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3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3">
      <c r="A1247" s="241"/>
      <c r="B1247" s="373"/>
      <c r="C1247" s="373"/>
      <c r="D1247" s="373"/>
      <c r="E1247" s="253"/>
      <c r="F1247" s="373"/>
      <c r="G1247" s="373"/>
      <c r="H1247" s="373"/>
      <c r="I1247" s="253"/>
      <c r="J1247" s="373"/>
      <c r="K1247" s="373"/>
      <c r="L1247" s="373"/>
      <c r="M1247" s="236"/>
    </row>
    <row r="1248" spans="1: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3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3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3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3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3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3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3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3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3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3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3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3">
      <c r="A1264" s="241"/>
      <c r="B1264" s="373"/>
      <c r="C1264" s="373"/>
      <c r="D1264" s="373"/>
      <c r="E1264" s="253"/>
      <c r="F1264" s="373"/>
      <c r="G1264" s="373"/>
      <c r="H1264" s="373"/>
      <c r="I1264" s="253"/>
      <c r="J1264" s="373"/>
      <c r="K1264" s="373"/>
      <c r="L1264" s="373"/>
      <c r="M1264" s="236"/>
    </row>
    <row r="1265" spans="1: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3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3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3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3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3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3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3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3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3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3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3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3">
      <c r="A1281" s="241"/>
      <c r="B1281" s="373"/>
      <c r="C1281" s="373"/>
      <c r="D1281" s="373"/>
      <c r="E1281" s="253"/>
      <c r="F1281" s="373"/>
      <c r="G1281" s="373"/>
      <c r="H1281" s="373"/>
      <c r="I1281" s="253"/>
      <c r="J1281" s="373"/>
      <c r="K1281" s="373"/>
      <c r="L1281" s="373"/>
      <c r="M1281" s="236"/>
    </row>
    <row r="1282" spans="1: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3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3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3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3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3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3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3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3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3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3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3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3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3">
      <c r="A1298" s="241"/>
      <c r="B1298" s="373"/>
      <c r="C1298" s="373"/>
      <c r="D1298" s="373"/>
      <c r="E1298" s="253"/>
      <c r="F1298" s="373"/>
      <c r="G1298" s="373"/>
      <c r="H1298" s="373"/>
      <c r="I1298" s="253"/>
      <c r="J1298" s="373"/>
      <c r="K1298" s="373"/>
      <c r="L1298" s="373"/>
      <c r="M1298" s="236"/>
    </row>
    <row r="1299" spans="1: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3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3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3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3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3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3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3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3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3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3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3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3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5234375" defaultRowHeight="12.45" x14ac:dyDescent="0.3"/>
  <cols>
    <col min="1" max="1" width="39.3046875" customWidth="1"/>
    <col min="2" max="2" width="6.69140625" bestFit="1" customWidth="1"/>
    <col min="3" max="4" width="5.69140625" bestFit="1" customWidth="1"/>
    <col min="5" max="5" width="6.69140625" bestFit="1" customWidth="1"/>
    <col min="6" max="6" width="2.84375" customWidth="1"/>
    <col min="7" max="7" width="6.69140625" bestFit="1" customWidth="1"/>
    <col min="8" max="9" width="5.69140625" bestFit="1" customWidth="1"/>
    <col min="10" max="10" width="6.69140625" bestFit="1" customWidth="1"/>
    <col min="11" max="11" width="2.84375" customWidth="1"/>
    <col min="12" max="12" width="6.69140625" bestFit="1" customWidth="1"/>
    <col min="13" max="14" width="5.69140625" bestFit="1" customWidth="1"/>
    <col min="15" max="15" width="6.69140625" bestFit="1" customWidth="1"/>
    <col min="16" max="16" width="6.69140625" customWidth="1"/>
    <col min="17" max="17" width="39.3046875" customWidth="1"/>
    <col min="18" max="18" width="6.69140625" customWidth="1"/>
    <col min="19" max="20" width="5.69140625" customWidth="1"/>
    <col min="21" max="21" width="6.69140625" customWidth="1"/>
    <col min="22" max="22" width="2.84375" customWidth="1"/>
    <col min="23" max="23" width="6.69140625" customWidth="1"/>
    <col min="24" max="25" width="5.69140625" customWidth="1"/>
    <col min="26" max="26" width="6.69140625" customWidth="1"/>
    <col min="27" max="27" width="2.84375" customWidth="1"/>
    <col min="28" max="29" width="6.69140625" customWidth="1"/>
    <col min="30" max="30" width="5.69140625" customWidth="1"/>
    <col min="31" max="31" width="6.69140625" customWidth="1"/>
    <col min="32" max="32" width="6.84375" customWidth="1"/>
    <col min="33" max="33" width="39.3046875" customWidth="1"/>
    <col min="34" max="34" width="6.69140625" customWidth="1"/>
    <col min="35" max="36" width="5.69140625" customWidth="1"/>
    <col min="37" max="37" width="6.69140625" customWidth="1"/>
    <col min="38" max="38" width="2.84375" customWidth="1"/>
    <col min="39" max="39" width="6.69140625" customWidth="1"/>
    <col min="40" max="41" width="5.69140625" customWidth="1"/>
    <col min="42" max="42" width="6.69140625" customWidth="1"/>
    <col min="43" max="43" width="2.84375" customWidth="1"/>
    <col min="44" max="45" width="6.69140625" customWidth="1"/>
    <col min="46" max="46" width="5.69140625" customWidth="1"/>
    <col min="47" max="47" width="6.69140625" customWidth="1"/>
  </cols>
  <sheetData>
    <row r="1" spans="1:47" ht="15.45" x14ac:dyDescent="0.4">
      <c r="A1" s="18" t="str">
        <f>CONCATENATE("Occupation Table 5  Employment Change by Status (SOC 2020), ",B$5,"-",L$5,", ",Info!B5)</f>
        <v>Occupation Table 5  Employment Change by Status (SOC 2020), 2015-2035, England</v>
      </c>
      <c r="Q1" s="18" t="str">
        <f>CONCATENATE("Occupation Table 5.1  Males: Employment Change by Status (SOC 2020), ",B$5,"-",L$5,", ",Info!B5)</f>
        <v>Occupation Table 5.1  Males: Employment Change by Status (SOC 2020), 2015-2035, England</v>
      </c>
      <c r="AG1" s="18" t="str">
        <f>CONCATENATE("Occupation Table 5.2  Females: Employment Change by Status (SOC 2020), ",R$5,"-",AB$5,", ",Info!B5)</f>
        <v>Occupation Table 5.2  Females: Employment Change by Status (SOC 2020), 2015-2035, England</v>
      </c>
    </row>
    <row r="2" spans="1:47" x14ac:dyDescent="0.3">
      <c r="A2" s="1" t="s">
        <v>534</v>
      </c>
    </row>
    <row r="3" spans="1:47" x14ac:dyDescent="0.3">
      <c r="O3" s="15" t="s">
        <v>35</v>
      </c>
      <c r="AE3" s="15" t="s">
        <v>35</v>
      </c>
      <c r="AU3" s="15" t="s">
        <v>35</v>
      </c>
    </row>
    <row r="4" spans="1:47" x14ac:dyDescent="0.3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3">
      <c r="B5" s="376">
        <v>2015</v>
      </c>
      <c r="C5" s="376"/>
      <c r="D5" s="376"/>
      <c r="E5" s="376"/>
      <c r="F5" s="1"/>
      <c r="G5" s="376">
        <v>2020</v>
      </c>
      <c r="H5" s="376"/>
      <c r="I5" s="376"/>
      <c r="J5" s="376"/>
      <c r="K5" s="1"/>
      <c r="L5" s="376">
        <v>2035</v>
      </c>
      <c r="M5" s="376"/>
      <c r="N5" s="376"/>
      <c r="O5" s="376"/>
      <c r="R5" s="376">
        <f>B5</f>
        <v>2015</v>
      </c>
      <c r="S5" s="376"/>
      <c r="T5" s="376"/>
      <c r="U5" s="376"/>
      <c r="V5" s="1"/>
      <c r="W5" s="376">
        <f>G5</f>
        <v>2020</v>
      </c>
      <c r="X5" s="376"/>
      <c r="Y5" s="376"/>
      <c r="Z5" s="376"/>
      <c r="AA5" s="1"/>
      <c r="AB5" s="376">
        <f>L5</f>
        <v>2035</v>
      </c>
      <c r="AC5" s="376"/>
      <c r="AD5" s="376"/>
      <c r="AE5" s="376"/>
      <c r="AH5" s="376">
        <f>B5</f>
        <v>2015</v>
      </c>
      <c r="AI5" s="376"/>
      <c r="AJ5" s="376"/>
      <c r="AK5" s="376"/>
      <c r="AL5" s="1"/>
      <c r="AM5" s="376">
        <f>G5</f>
        <v>2020</v>
      </c>
      <c r="AN5" s="376"/>
      <c r="AO5" s="376"/>
      <c r="AP5" s="376"/>
      <c r="AQ5" s="1"/>
      <c r="AR5" s="376">
        <f>L5</f>
        <v>2035</v>
      </c>
      <c r="AS5" s="376"/>
      <c r="AT5" s="376"/>
      <c r="AU5" s="376"/>
    </row>
    <row r="6" spans="1:47" x14ac:dyDescent="0.3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3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3">
      <c r="A8" t="str">
        <f>name!E4</f>
        <v>Managers, directors and senior officials</v>
      </c>
      <c r="B8" s="11">
        <v>2033.1336136421755</v>
      </c>
      <c r="C8" s="11">
        <v>284.27968046921268</v>
      </c>
      <c r="D8" s="11">
        <v>505.54167250934302</v>
      </c>
      <c r="E8" s="11">
        <f>SUM(B8:D8)</f>
        <v>2822.9549666207313</v>
      </c>
      <c r="F8" s="11"/>
      <c r="G8" s="11">
        <v>2300.8303483965296</v>
      </c>
      <c r="H8" s="11">
        <v>435.45050464048006</v>
      </c>
      <c r="I8" s="11">
        <v>561.68221196556465</v>
      </c>
      <c r="J8" s="11">
        <f>SUM(G8:I8)</f>
        <v>3297.9630650025747</v>
      </c>
      <c r="K8" s="11"/>
      <c r="L8" s="11">
        <v>2587.7995848095052</v>
      </c>
      <c r="M8" s="11">
        <v>557.2858124931679</v>
      </c>
      <c r="N8" s="11">
        <v>652.07630847698829</v>
      </c>
      <c r="O8" s="11">
        <f>SUM(L8:N8)</f>
        <v>3797.1617057796616</v>
      </c>
      <c r="Q8" s="10" t="str">
        <f>name!E4</f>
        <v>Managers, directors and senior officials</v>
      </c>
      <c r="R8" s="11">
        <v>1430.177730158151</v>
      </c>
      <c r="S8" s="11">
        <v>105.48755303938539</v>
      </c>
      <c r="T8" s="11">
        <v>338.12894425384155</v>
      </c>
      <c r="U8" s="11">
        <f>SUM(R8:T8)</f>
        <v>1873.794227451378</v>
      </c>
      <c r="V8" s="11"/>
      <c r="W8" s="11">
        <v>1584.2227326374484</v>
      </c>
      <c r="X8" s="11">
        <v>167.02479933796718</v>
      </c>
      <c r="Y8" s="11">
        <v>348.06835917368915</v>
      </c>
      <c r="Z8" s="11">
        <f>SUM(W8:Y8)</f>
        <v>2099.3158911491046</v>
      </c>
      <c r="AA8" s="11"/>
      <c r="AB8" s="11">
        <v>1662.8580374255246</v>
      </c>
      <c r="AC8" s="11">
        <v>224.95819640308409</v>
      </c>
      <c r="AD8" s="11">
        <v>413.31636226958329</v>
      </c>
      <c r="AE8" s="11">
        <f>SUM(AB8:AD8)</f>
        <v>2301.1325960981917</v>
      </c>
      <c r="AG8" s="10" t="str">
        <f>name!E4</f>
        <v>Managers, directors and senior officials</v>
      </c>
      <c r="AH8" s="11">
        <v>602.95588348402111</v>
      </c>
      <c r="AI8" s="11">
        <v>178.79212742982727</v>
      </c>
      <c r="AJ8" s="11">
        <v>167.41272825550107</v>
      </c>
      <c r="AK8" s="11">
        <f>SUM(AH8:AJ8)</f>
        <v>949.16073916934943</v>
      </c>
      <c r="AL8" s="11"/>
      <c r="AM8" s="11">
        <v>716.60761575907929</v>
      </c>
      <c r="AN8" s="11">
        <v>268.42570530251265</v>
      </c>
      <c r="AO8" s="11">
        <v>213.61385279187553</v>
      </c>
      <c r="AP8" s="11">
        <f>SUM(AM8:AO8)</f>
        <v>1198.6471738534676</v>
      </c>
      <c r="AQ8" s="11"/>
      <c r="AR8" s="11">
        <v>924.94154738398174</v>
      </c>
      <c r="AS8" s="11">
        <v>332.32761609008401</v>
      </c>
      <c r="AT8" s="11">
        <v>238.75994620740525</v>
      </c>
      <c r="AU8" s="11">
        <f>SUM(AR8:AT8)</f>
        <v>1496.029109681471</v>
      </c>
    </row>
    <row r="9" spans="1:47" x14ac:dyDescent="0.3">
      <c r="A9" t="str">
        <f>name!E5</f>
        <v>Professional occupations</v>
      </c>
      <c r="B9" s="11">
        <v>4123.1584970347039</v>
      </c>
      <c r="C9" s="11">
        <v>1074.9351653229644</v>
      </c>
      <c r="D9" s="11">
        <v>715.15011968548583</v>
      </c>
      <c r="E9" s="11">
        <f t="shared" ref="E9:E18" si="0">SUM(B9:D9)</f>
        <v>5913.2437820431542</v>
      </c>
      <c r="F9" s="11"/>
      <c r="G9" s="11">
        <v>4954.5374052100997</v>
      </c>
      <c r="H9" s="11">
        <v>1333.7950024711888</v>
      </c>
      <c r="I9" s="11">
        <v>754.57563909506212</v>
      </c>
      <c r="J9" s="11">
        <f t="shared" ref="J9:J16" si="1">SUM(G9:I9)</f>
        <v>7042.9080467763506</v>
      </c>
      <c r="K9" s="11"/>
      <c r="L9" s="11">
        <v>5999.6051490367909</v>
      </c>
      <c r="M9" s="11">
        <v>1658.4244226828268</v>
      </c>
      <c r="N9" s="11">
        <v>754.65429771438266</v>
      </c>
      <c r="O9" s="11">
        <f t="shared" ref="O9:O16" si="2">SUM(L9:N9)</f>
        <v>8412.6838694340004</v>
      </c>
      <c r="Q9" s="10" t="str">
        <f>name!E5</f>
        <v>Professional occupations</v>
      </c>
      <c r="R9" s="11">
        <v>2404.5746559651561</v>
      </c>
      <c r="S9" s="11">
        <v>212.66449840609158</v>
      </c>
      <c r="T9" s="11">
        <v>455.15008860605457</v>
      </c>
      <c r="U9" s="11">
        <f t="shared" ref="U9:U16" si="3">SUM(R9:T9)</f>
        <v>3072.3892429773023</v>
      </c>
      <c r="V9" s="11"/>
      <c r="W9" s="11">
        <v>2832.032691021881</v>
      </c>
      <c r="X9" s="11">
        <v>318.33305925977754</v>
      </c>
      <c r="Y9" s="11">
        <v>427.91437666401004</v>
      </c>
      <c r="Z9" s="11">
        <f t="shared" ref="Z9:Z16" si="4">SUM(W9:Y9)</f>
        <v>3578.2801269456686</v>
      </c>
      <c r="AA9" s="11"/>
      <c r="AB9" s="11">
        <v>3331.342700500617</v>
      </c>
      <c r="AC9" s="11">
        <v>433.38059081813844</v>
      </c>
      <c r="AD9" s="11">
        <v>403.01219968318765</v>
      </c>
      <c r="AE9" s="11">
        <f t="shared" ref="AE9:AE16" si="5">SUM(AB9:AD9)</f>
        <v>4167.735491001943</v>
      </c>
      <c r="AG9" s="10" t="str">
        <f>name!E5</f>
        <v>Professional occupations</v>
      </c>
      <c r="AH9" s="11">
        <v>1718.5838410695503</v>
      </c>
      <c r="AI9" s="11">
        <v>862.2706669168731</v>
      </c>
      <c r="AJ9" s="11">
        <v>260.00003107943076</v>
      </c>
      <c r="AK9" s="11">
        <f t="shared" ref="AK9:AK18" si="6">SUM(AH9:AJ9)</f>
        <v>2840.8545390658542</v>
      </c>
      <c r="AL9" s="11"/>
      <c r="AM9" s="11">
        <v>2122.5047141882214</v>
      </c>
      <c r="AN9" s="11">
        <v>1015.461943211411</v>
      </c>
      <c r="AO9" s="11">
        <v>326.66126243105174</v>
      </c>
      <c r="AP9" s="11">
        <f t="shared" ref="AP9:AP18" si="7">SUM(AM9:AO9)</f>
        <v>3464.6279198306843</v>
      </c>
      <c r="AQ9" s="11"/>
      <c r="AR9" s="11">
        <v>2668.2624485361707</v>
      </c>
      <c r="AS9" s="11">
        <v>1225.0438318646882</v>
      </c>
      <c r="AT9" s="11">
        <v>351.64209803119496</v>
      </c>
      <c r="AU9" s="11">
        <f t="shared" ref="AU9:AU18" si="8">SUM(AR9:AT9)</f>
        <v>4244.9483784320537</v>
      </c>
    </row>
    <row r="10" spans="1:47" x14ac:dyDescent="0.3">
      <c r="A10" t="str">
        <f>name!E6</f>
        <v>Associate professional occupations</v>
      </c>
      <c r="B10" s="11">
        <v>2434.5962958748069</v>
      </c>
      <c r="C10" s="11">
        <v>667.45717460780065</v>
      </c>
      <c r="D10" s="11">
        <v>571.02539290509094</v>
      </c>
      <c r="E10" s="11">
        <f t="shared" si="0"/>
        <v>3673.0788633876987</v>
      </c>
      <c r="F10" s="11"/>
      <c r="G10" s="11">
        <v>2791.0094673419389</v>
      </c>
      <c r="H10" s="11">
        <v>788.23090506797382</v>
      </c>
      <c r="I10" s="11">
        <v>573.08524524246479</v>
      </c>
      <c r="J10" s="11">
        <f t="shared" si="1"/>
        <v>4152.3256176523773</v>
      </c>
      <c r="K10" s="11"/>
      <c r="L10" s="11">
        <v>2933.5585048436801</v>
      </c>
      <c r="M10" s="11">
        <v>853.35595556757153</v>
      </c>
      <c r="N10" s="11">
        <v>606.96671875505649</v>
      </c>
      <c r="O10" s="11">
        <f t="shared" si="2"/>
        <v>4393.8811791663084</v>
      </c>
      <c r="Q10" s="10" t="str">
        <f>name!E6</f>
        <v>Associate professional occupations</v>
      </c>
      <c r="R10" s="11">
        <v>1521.5072897453053</v>
      </c>
      <c r="S10" s="11">
        <v>168.494916794586</v>
      </c>
      <c r="T10" s="11">
        <v>302.8254983241863</v>
      </c>
      <c r="U10" s="11">
        <f t="shared" si="3"/>
        <v>1992.8277048640778</v>
      </c>
      <c r="V10" s="11"/>
      <c r="W10" s="11">
        <v>1688.691222728218</v>
      </c>
      <c r="X10" s="11">
        <v>229.16329200060315</v>
      </c>
      <c r="Y10" s="11">
        <v>279.79727119127375</v>
      </c>
      <c r="Z10" s="11">
        <f t="shared" si="4"/>
        <v>2197.6517859200949</v>
      </c>
      <c r="AA10" s="11"/>
      <c r="AB10" s="11">
        <v>1655.318504888806</v>
      </c>
      <c r="AC10" s="11">
        <v>214.26029643574287</v>
      </c>
      <c r="AD10" s="11">
        <v>284.39183435358143</v>
      </c>
      <c r="AE10" s="11">
        <f t="shared" si="5"/>
        <v>2153.9706356781303</v>
      </c>
      <c r="AG10" s="10" t="str">
        <f>name!E6</f>
        <v>Associate professional occupations</v>
      </c>
      <c r="AH10" s="11">
        <v>913.08900612949913</v>
      </c>
      <c r="AI10" s="11">
        <v>498.96225781321476</v>
      </c>
      <c r="AJ10" s="11">
        <v>268.19989458090453</v>
      </c>
      <c r="AK10" s="11">
        <f t="shared" si="6"/>
        <v>1680.2511585236184</v>
      </c>
      <c r="AL10" s="11"/>
      <c r="AM10" s="11">
        <v>1102.3182446137191</v>
      </c>
      <c r="AN10" s="11">
        <v>559.06761306737053</v>
      </c>
      <c r="AO10" s="11">
        <v>293.2879740511907</v>
      </c>
      <c r="AP10" s="11">
        <f t="shared" si="7"/>
        <v>1954.6738317322804</v>
      </c>
      <c r="AQ10" s="11"/>
      <c r="AR10" s="11">
        <v>1278.2399999548747</v>
      </c>
      <c r="AS10" s="11">
        <v>639.09565913182882</v>
      </c>
      <c r="AT10" s="11">
        <v>322.57488440147552</v>
      </c>
      <c r="AU10" s="11">
        <f t="shared" si="8"/>
        <v>2239.910543488179</v>
      </c>
    </row>
    <row r="11" spans="1:47" x14ac:dyDescent="0.3">
      <c r="A11" t="str">
        <f>name!E7</f>
        <v>Administrative and secretarial occupations</v>
      </c>
      <c r="B11" s="11">
        <v>1782.1006477024639</v>
      </c>
      <c r="C11" s="11">
        <v>1227.7272050259817</v>
      </c>
      <c r="D11" s="11">
        <v>139.6659079183413</v>
      </c>
      <c r="E11" s="11">
        <f t="shared" si="0"/>
        <v>3149.493760646787</v>
      </c>
      <c r="F11" s="11"/>
      <c r="G11" s="11">
        <v>1787.2328365424078</v>
      </c>
      <c r="H11" s="11">
        <v>1229.2321901312434</v>
      </c>
      <c r="I11" s="11">
        <v>130.56531100122686</v>
      </c>
      <c r="J11" s="11">
        <f t="shared" si="1"/>
        <v>3147.030337674878</v>
      </c>
      <c r="K11" s="11"/>
      <c r="L11" s="11">
        <v>1535.8889513203019</v>
      </c>
      <c r="M11" s="11">
        <v>1051.4296174351159</v>
      </c>
      <c r="N11" s="11">
        <v>132.80348732797853</v>
      </c>
      <c r="O11" s="11">
        <f t="shared" si="2"/>
        <v>2720.1220560833963</v>
      </c>
      <c r="Q11" s="10" t="str">
        <f>name!E7</f>
        <v>Administrative and secretarial occupations</v>
      </c>
      <c r="R11" s="11">
        <v>582.93244424718387</v>
      </c>
      <c r="S11" s="11">
        <v>151.9890701050312</v>
      </c>
      <c r="T11" s="11">
        <v>39.008513172991123</v>
      </c>
      <c r="U11" s="11">
        <f t="shared" si="3"/>
        <v>773.93002752520624</v>
      </c>
      <c r="V11" s="11"/>
      <c r="W11" s="11">
        <v>637.43242258664145</v>
      </c>
      <c r="X11" s="11">
        <v>188.04255670798742</v>
      </c>
      <c r="Y11" s="11">
        <v>31.176514504366192</v>
      </c>
      <c r="Z11" s="11">
        <f t="shared" si="4"/>
        <v>856.65149379899503</v>
      </c>
      <c r="AA11" s="11"/>
      <c r="AB11" s="11">
        <v>677.23649972344163</v>
      </c>
      <c r="AC11" s="11">
        <v>180.22139558245024</v>
      </c>
      <c r="AD11" s="11">
        <v>43.159200421981588</v>
      </c>
      <c r="AE11" s="11">
        <f t="shared" si="5"/>
        <v>900.61709572787345</v>
      </c>
      <c r="AG11" s="10" t="str">
        <f>name!E7</f>
        <v>Administrative and secretarial occupations</v>
      </c>
      <c r="AH11" s="11">
        <v>1199.16820345528</v>
      </c>
      <c r="AI11" s="11">
        <v>1075.7381349209504</v>
      </c>
      <c r="AJ11" s="11">
        <v>100.65739474535025</v>
      </c>
      <c r="AK11" s="11">
        <f t="shared" si="6"/>
        <v>2375.5637331215808</v>
      </c>
      <c r="AL11" s="11"/>
      <c r="AM11" s="11">
        <v>1149.8004139557677</v>
      </c>
      <c r="AN11" s="11">
        <v>1041.189633423257</v>
      </c>
      <c r="AO11" s="11">
        <v>99.38879649686065</v>
      </c>
      <c r="AP11" s="11">
        <f t="shared" si="7"/>
        <v>2290.3788438758857</v>
      </c>
      <c r="AQ11" s="11"/>
      <c r="AR11" s="11">
        <v>858.65245159685992</v>
      </c>
      <c r="AS11" s="11">
        <v>871.20822185266502</v>
      </c>
      <c r="AT11" s="11">
        <v>89.644286905996964</v>
      </c>
      <c r="AU11" s="11">
        <f t="shared" si="8"/>
        <v>1819.5049603555219</v>
      </c>
    </row>
    <row r="12" spans="1:47" x14ac:dyDescent="0.3">
      <c r="A12" t="str">
        <f>name!E8</f>
        <v>Skilled trades occupations</v>
      </c>
      <c r="B12" s="11">
        <v>1686.403967998039</v>
      </c>
      <c r="C12" s="11">
        <v>270.45964396681103</v>
      </c>
      <c r="D12" s="11">
        <v>932.82734433889289</v>
      </c>
      <c r="E12" s="11">
        <f t="shared" si="0"/>
        <v>2889.690956303743</v>
      </c>
      <c r="F12" s="11"/>
      <c r="G12" s="11">
        <v>1438.7779174776072</v>
      </c>
      <c r="H12" s="11">
        <v>236.97467016399571</v>
      </c>
      <c r="I12" s="11">
        <v>834.52565995376051</v>
      </c>
      <c r="J12" s="11">
        <f t="shared" si="1"/>
        <v>2510.2782475953636</v>
      </c>
      <c r="K12" s="11"/>
      <c r="L12" s="11">
        <v>1283.1502807797754</v>
      </c>
      <c r="M12" s="11">
        <v>278.97314455785221</v>
      </c>
      <c r="N12" s="11">
        <v>932.01480121236625</v>
      </c>
      <c r="O12" s="11">
        <f t="shared" si="2"/>
        <v>2494.1382265499938</v>
      </c>
      <c r="Q12" s="10" t="str">
        <f>name!E8</f>
        <v>Skilled trades occupations</v>
      </c>
      <c r="R12" s="11">
        <v>1556.4679937327383</v>
      </c>
      <c r="S12" s="11">
        <v>176.77458494829969</v>
      </c>
      <c r="T12" s="11">
        <v>846.6894799880788</v>
      </c>
      <c r="U12" s="11">
        <f t="shared" si="3"/>
        <v>2579.9320586691165</v>
      </c>
      <c r="V12" s="11"/>
      <c r="W12" s="11">
        <v>1305.7537203437021</v>
      </c>
      <c r="X12" s="11">
        <v>147.89376476535998</v>
      </c>
      <c r="Y12" s="11">
        <v>733.79774076464093</v>
      </c>
      <c r="Z12" s="11">
        <f t="shared" si="4"/>
        <v>2187.4452258737028</v>
      </c>
      <c r="AA12" s="11"/>
      <c r="AB12" s="11">
        <v>1118.1752109257043</v>
      </c>
      <c r="AC12" s="11">
        <v>174.52656396688565</v>
      </c>
      <c r="AD12" s="11">
        <v>801.2153517103834</v>
      </c>
      <c r="AE12" s="11">
        <f t="shared" si="5"/>
        <v>2093.9171266029734</v>
      </c>
      <c r="AG12" s="10" t="str">
        <f>name!E8</f>
        <v>Skilled trades occupations</v>
      </c>
      <c r="AH12" s="11">
        <v>129.93597426530036</v>
      </c>
      <c r="AI12" s="11">
        <v>93.685059018511637</v>
      </c>
      <c r="AJ12" s="11">
        <v>86.13786435081434</v>
      </c>
      <c r="AK12" s="11">
        <f t="shared" si="6"/>
        <v>309.75889763462635</v>
      </c>
      <c r="AL12" s="11"/>
      <c r="AM12" s="11">
        <v>133.02419713390654</v>
      </c>
      <c r="AN12" s="11">
        <v>89.080905398635707</v>
      </c>
      <c r="AO12" s="11">
        <v>100.72791918911935</v>
      </c>
      <c r="AP12" s="11">
        <f t="shared" si="7"/>
        <v>322.83302172166157</v>
      </c>
      <c r="AQ12" s="11"/>
      <c r="AR12" s="11">
        <v>164.97506985406963</v>
      </c>
      <c r="AS12" s="11">
        <v>104.44658059096646</v>
      </c>
      <c r="AT12" s="11">
        <v>130.79944950198336</v>
      </c>
      <c r="AU12" s="11">
        <f t="shared" si="8"/>
        <v>400.22109994701947</v>
      </c>
    </row>
    <row r="13" spans="1:47" x14ac:dyDescent="0.3">
      <c r="A13" t="str">
        <f>name!E9</f>
        <v>Caring, leisure and other service occupations</v>
      </c>
      <c r="B13" s="11">
        <v>1258.4272347785188</v>
      </c>
      <c r="C13" s="11">
        <v>1161.0224353982612</v>
      </c>
      <c r="D13" s="11">
        <v>267.02727518948569</v>
      </c>
      <c r="E13" s="11">
        <f t="shared" si="0"/>
        <v>2686.4769453662661</v>
      </c>
      <c r="F13" s="11"/>
      <c r="G13" s="11">
        <v>1233.5975431043887</v>
      </c>
      <c r="H13" s="11">
        <v>1147.004832143075</v>
      </c>
      <c r="I13" s="11">
        <v>302.59150520592596</v>
      </c>
      <c r="J13" s="11">
        <f t="shared" si="1"/>
        <v>2683.1938804533897</v>
      </c>
      <c r="K13" s="11"/>
      <c r="L13" s="11">
        <v>1494.9663844517545</v>
      </c>
      <c r="M13" s="11">
        <v>1247.6373360684911</v>
      </c>
      <c r="N13" s="11">
        <v>361.51743220837744</v>
      </c>
      <c r="O13" s="11">
        <f t="shared" si="2"/>
        <v>3104.1211527286232</v>
      </c>
      <c r="Q13" s="10" t="str">
        <f>name!E9</f>
        <v>Caring, leisure and other service occupations</v>
      </c>
      <c r="R13" s="11">
        <v>325.19754199723133</v>
      </c>
      <c r="S13" s="11">
        <v>149.39341432778642</v>
      </c>
      <c r="T13" s="11">
        <v>43.640754143935816</v>
      </c>
      <c r="U13" s="11">
        <f t="shared" si="3"/>
        <v>518.23171046895357</v>
      </c>
      <c r="V13" s="11"/>
      <c r="W13" s="11">
        <v>322.82598335373552</v>
      </c>
      <c r="X13" s="11">
        <v>167.73227162393846</v>
      </c>
      <c r="Y13" s="11">
        <v>44.262526170380717</v>
      </c>
      <c r="Z13" s="11">
        <f t="shared" si="4"/>
        <v>534.82078114805472</v>
      </c>
      <c r="AA13" s="11"/>
      <c r="AB13" s="11">
        <v>418.25889113862399</v>
      </c>
      <c r="AC13" s="11">
        <v>207.12576066848234</v>
      </c>
      <c r="AD13" s="11">
        <v>67.139384826355013</v>
      </c>
      <c r="AE13" s="11">
        <f t="shared" si="5"/>
        <v>692.52403663346138</v>
      </c>
      <c r="AG13" s="10" t="str">
        <f>name!E9</f>
        <v>Caring, leisure and other service occupations</v>
      </c>
      <c r="AH13" s="11">
        <v>933.2296927812871</v>
      </c>
      <c r="AI13" s="11">
        <v>1011.6290210704748</v>
      </c>
      <c r="AJ13" s="11">
        <v>223.38652104554984</v>
      </c>
      <c r="AK13" s="11">
        <f t="shared" si="6"/>
        <v>2168.2452348973115</v>
      </c>
      <c r="AL13" s="11"/>
      <c r="AM13" s="11">
        <v>910.77155975065364</v>
      </c>
      <c r="AN13" s="11">
        <v>979.27256051913639</v>
      </c>
      <c r="AO13" s="11">
        <v>258.32897903554516</v>
      </c>
      <c r="AP13" s="11">
        <f t="shared" si="7"/>
        <v>2148.373099305335</v>
      </c>
      <c r="AQ13" s="11"/>
      <c r="AR13" s="11">
        <v>1076.707493313131</v>
      </c>
      <c r="AS13" s="11">
        <v>1040.5115754000087</v>
      </c>
      <c r="AT13" s="11">
        <v>294.37804738202254</v>
      </c>
      <c r="AU13" s="11">
        <f t="shared" si="8"/>
        <v>2411.5971160951622</v>
      </c>
    </row>
    <row r="14" spans="1:47" x14ac:dyDescent="0.3">
      <c r="A14" t="str">
        <f>name!E10</f>
        <v>Sales and customer service occupations</v>
      </c>
      <c r="B14" s="11">
        <v>905.4239826372177</v>
      </c>
      <c r="C14" s="11">
        <v>1380.2188956005582</v>
      </c>
      <c r="D14" s="11">
        <v>166.07178003324969</v>
      </c>
      <c r="E14" s="11">
        <f t="shared" si="0"/>
        <v>2451.7146582710257</v>
      </c>
      <c r="F14" s="11"/>
      <c r="G14" s="11">
        <v>861.75226111678614</v>
      </c>
      <c r="H14" s="11">
        <v>1382.8151497796091</v>
      </c>
      <c r="I14" s="11">
        <v>117.76587073844962</v>
      </c>
      <c r="J14" s="11">
        <f t="shared" si="1"/>
        <v>2362.3332816348448</v>
      </c>
      <c r="K14" s="11"/>
      <c r="L14" s="11">
        <v>880.69347216444839</v>
      </c>
      <c r="M14" s="11">
        <v>1405.2813769815994</v>
      </c>
      <c r="N14" s="11">
        <v>102.82043765241158</v>
      </c>
      <c r="O14" s="11">
        <f t="shared" si="2"/>
        <v>2388.7952867984595</v>
      </c>
      <c r="Q14" s="10" t="str">
        <f>name!E10</f>
        <v>Sales and customer service occupations</v>
      </c>
      <c r="R14" s="11">
        <v>451.37059115272064</v>
      </c>
      <c r="S14" s="11">
        <v>427.65913368503971</v>
      </c>
      <c r="T14" s="11">
        <v>96.150742739133022</v>
      </c>
      <c r="U14" s="11">
        <f t="shared" si="3"/>
        <v>975.18046757689331</v>
      </c>
      <c r="V14" s="11"/>
      <c r="W14" s="11">
        <v>442.71940803206212</v>
      </c>
      <c r="X14" s="11">
        <v>458.41867667948549</v>
      </c>
      <c r="Y14" s="11">
        <v>68.531439069859928</v>
      </c>
      <c r="Z14" s="11">
        <f t="shared" si="4"/>
        <v>969.66952378140763</v>
      </c>
      <c r="AA14" s="11"/>
      <c r="AB14" s="11">
        <v>486.40875297650041</v>
      </c>
      <c r="AC14" s="11">
        <v>490.34533566270892</v>
      </c>
      <c r="AD14" s="11">
        <v>60.896701229266071</v>
      </c>
      <c r="AE14" s="11">
        <f t="shared" si="5"/>
        <v>1037.6507898684754</v>
      </c>
      <c r="AG14" s="10" t="str">
        <f>name!E10</f>
        <v>Sales and customer service occupations</v>
      </c>
      <c r="AH14" s="11">
        <v>454.05339148449724</v>
      </c>
      <c r="AI14" s="11">
        <v>952.5597619155194</v>
      </c>
      <c r="AJ14" s="11">
        <v>69.921037294116601</v>
      </c>
      <c r="AK14" s="11">
        <f t="shared" si="6"/>
        <v>1476.5341906941333</v>
      </c>
      <c r="AL14" s="11"/>
      <c r="AM14" s="11">
        <v>419.03285308472385</v>
      </c>
      <c r="AN14" s="11">
        <v>924.39647310012253</v>
      </c>
      <c r="AO14" s="11">
        <v>49.234431668589629</v>
      </c>
      <c r="AP14" s="11">
        <f t="shared" si="7"/>
        <v>1392.663757853436</v>
      </c>
      <c r="AQ14" s="11"/>
      <c r="AR14" s="11">
        <v>394.28471918794781</v>
      </c>
      <c r="AS14" s="11">
        <v>914.93604131889015</v>
      </c>
      <c r="AT14" s="11">
        <v>41.923736423145471</v>
      </c>
      <c r="AU14" s="11">
        <f t="shared" si="8"/>
        <v>1351.1444969299835</v>
      </c>
    </row>
    <row r="15" spans="1:47" x14ac:dyDescent="0.3">
      <c r="A15" t="str">
        <f>name!E11</f>
        <v>Process, plant and machine operatives</v>
      </c>
      <c r="B15" s="11">
        <v>1258.8497473739833</v>
      </c>
      <c r="C15" s="11">
        <v>232.12683497411257</v>
      </c>
      <c r="D15" s="11">
        <v>276.3491220160256</v>
      </c>
      <c r="E15" s="11">
        <f t="shared" si="0"/>
        <v>1767.3257043641215</v>
      </c>
      <c r="F15" s="11"/>
      <c r="G15" s="11">
        <v>1092.776448132583</v>
      </c>
      <c r="H15" s="11">
        <v>274.4285538421662</v>
      </c>
      <c r="I15" s="11">
        <v>294.93254231975237</v>
      </c>
      <c r="J15" s="11">
        <f t="shared" si="1"/>
        <v>1662.1375442945016</v>
      </c>
      <c r="K15" s="11"/>
      <c r="L15" s="11">
        <v>1117.5190885291929</v>
      </c>
      <c r="M15" s="11">
        <v>367.46444124208671</v>
      </c>
      <c r="N15" s="11">
        <v>367.10374068114328</v>
      </c>
      <c r="O15" s="11">
        <f t="shared" si="2"/>
        <v>1852.0872704524229</v>
      </c>
      <c r="Q15" s="10" t="str">
        <f>name!E11</f>
        <v>Process, plant and machine operatives</v>
      </c>
      <c r="R15" s="11">
        <v>1124.7546441078391</v>
      </c>
      <c r="S15" s="11">
        <v>172.18369778361392</v>
      </c>
      <c r="T15" s="11">
        <v>248.72049731182787</v>
      </c>
      <c r="U15" s="11">
        <f t="shared" si="3"/>
        <v>1545.6588392032809</v>
      </c>
      <c r="V15" s="11"/>
      <c r="W15" s="11">
        <v>981.07136017096116</v>
      </c>
      <c r="X15" s="11">
        <v>220.2510826880372</v>
      </c>
      <c r="Y15" s="11">
        <v>258.15678497324484</v>
      </c>
      <c r="Z15" s="11">
        <f t="shared" si="4"/>
        <v>1459.4792278322432</v>
      </c>
      <c r="AA15" s="11"/>
      <c r="AB15" s="11">
        <v>982.87146329318432</v>
      </c>
      <c r="AC15" s="11">
        <v>264.07823149572658</v>
      </c>
      <c r="AD15" s="11">
        <v>321.35927439329004</v>
      </c>
      <c r="AE15" s="11">
        <f t="shared" si="5"/>
        <v>1568.3089691822008</v>
      </c>
      <c r="AG15" s="10" t="str">
        <f>name!E11</f>
        <v>Process, plant and machine operatives</v>
      </c>
      <c r="AH15" s="11">
        <v>134.09510326614384</v>
      </c>
      <c r="AI15" s="11">
        <v>59.943137190498376</v>
      </c>
      <c r="AJ15" s="11">
        <v>27.628624704197378</v>
      </c>
      <c r="AK15" s="11">
        <f t="shared" si="6"/>
        <v>221.66686516083956</v>
      </c>
      <c r="AL15" s="11"/>
      <c r="AM15" s="11">
        <v>111.70508796162193</v>
      </c>
      <c r="AN15" s="11">
        <v>54.177471154128682</v>
      </c>
      <c r="AO15" s="11">
        <v>36.775757346507696</v>
      </c>
      <c r="AP15" s="11">
        <f t="shared" si="7"/>
        <v>202.65831646225831</v>
      </c>
      <c r="AQ15" s="11"/>
      <c r="AR15" s="11">
        <v>134.64762523600945</v>
      </c>
      <c r="AS15" s="11">
        <v>103.38620974635992</v>
      </c>
      <c r="AT15" s="11">
        <v>45.744466287853463</v>
      </c>
      <c r="AU15" s="11">
        <f t="shared" si="8"/>
        <v>283.77830127022281</v>
      </c>
    </row>
    <row r="16" spans="1:47" x14ac:dyDescent="0.3">
      <c r="A16" t="str">
        <f>name!E12</f>
        <v>Elementary occupations</v>
      </c>
      <c r="B16" s="11">
        <v>1386.909012920129</v>
      </c>
      <c r="C16" s="11">
        <v>1691.007964669745</v>
      </c>
      <c r="D16" s="11">
        <v>224.2753854043666</v>
      </c>
      <c r="E16" s="11">
        <f t="shared" si="0"/>
        <v>3302.1923629942407</v>
      </c>
      <c r="F16" s="11"/>
      <c r="G16" s="11">
        <v>1202.7157726646205</v>
      </c>
      <c r="H16" s="11">
        <v>1605.8131917691167</v>
      </c>
      <c r="I16" s="11">
        <v>192.98201447701183</v>
      </c>
      <c r="J16" s="11">
        <f t="shared" si="1"/>
        <v>3001.5109789107491</v>
      </c>
      <c r="K16" s="11"/>
      <c r="L16" s="11">
        <v>1181.881584073986</v>
      </c>
      <c r="M16" s="11">
        <v>1465.0368929514705</v>
      </c>
      <c r="N16" s="11">
        <v>260.18177598059066</v>
      </c>
      <c r="O16" s="11">
        <f t="shared" si="2"/>
        <v>2907.1002530060473</v>
      </c>
      <c r="Q16" s="10" t="str">
        <f>name!E12</f>
        <v>Elementary occupations</v>
      </c>
      <c r="R16" s="11">
        <v>1025.8651088763445</v>
      </c>
      <c r="S16" s="11">
        <v>622.43413092181424</v>
      </c>
      <c r="T16" s="11">
        <v>117.05048146673845</v>
      </c>
      <c r="U16" s="11">
        <f t="shared" si="3"/>
        <v>1765.3497212648972</v>
      </c>
      <c r="V16" s="11"/>
      <c r="W16" s="11">
        <v>880.22545911988061</v>
      </c>
      <c r="X16" s="11">
        <v>609.70349693863318</v>
      </c>
      <c r="Y16" s="11">
        <v>106.27298749234873</v>
      </c>
      <c r="Z16" s="11">
        <f t="shared" si="4"/>
        <v>1596.2019435508626</v>
      </c>
      <c r="AA16" s="11"/>
      <c r="AB16" s="11">
        <v>821.65293912363109</v>
      </c>
      <c r="AC16" s="11">
        <v>597.58762896816688</v>
      </c>
      <c r="AD16" s="11">
        <v>148.4096911151</v>
      </c>
      <c r="AE16" s="11">
        <f t="shared" si="5"/>
        <v>1567.650259206898</v>
      </c>
      <c r="AG16" s="10" t="str">
        <f>name!E12</f>
        <v>Elementary occupations</v>
      </c>
      <c r="AH16" s="11">
        <v>361.04390404378302</v>
      </c>
      <c r="AI16" s="11">
        <v>1068.5738337479313</v>
      </c>
      <c r="AJ16" s="11">
        <v>107.22490393762789</v>
      </c>
      <c r="AK16" s="11">
        <f t="shared" si="6"/>
        <v>1536.8426417293422</v>
      </c>
      <c r="AL16" s="11"/>
      <c r="AM16" s="11">
        <v>322.49031354473863</v>
      </c>
      <c r="AN16" s="11">
        <v>996.10969483048223</v>
      </c>
      <c r="AO16" s="11">
        <v>86.70902698466314</v>
      </c>
      <c r="AP16" s="11">
        <f t="shared" si="7"/>
        <v>1405.3090353598839</v>
      </c>
      <c r="AQ16" s="11"/>
      <c r="AR16" s="11">
        <v>360.22864495035469</v>
      </c>
      <c r="AS16" s="11">
        <v>867.4492639833046</v>
      </c>
      <c r="AT16" s="11">
        <v>111.77208486549071</v>
      </c>
      <c r="AU16" s="11">
        <f t="shared" si="8"/>
        <v>1339.44999379915</v>
      </c>
    </row>
    <row r="17" spans="1:47" x14ac:dyDescent="0.3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3">
      <c r="A18" s="23" t="str">
        <f>name!E3</f>
        <v>All occupations</v>
      </c>
      <c r="B18" s="33">
        <f>SUM(B8:B16)</f>
        <v>16869.002999962038</v>
      </c>
      <c r="C18" s="33">
        <f t="shared" ref="C18:D18" si="9">SUM(C8:C16)</f>
        <v>7989.2350000354472</v>
      </c>
      <c r="D18" s="33">
        <f t="shared" si="9"/>
        <v>3797.9340000002821</v>
      </c>
      <c r="E18" s="33">
        <f t="shared" si="0"/>
        <v>28656.171999997769</v>
      </c>
      <c r="F18" s="33"/>
      <c r="G18" s="33">
        <f>SUM(G8:G16)</f>
        <v>17663.229999986961</v>
      </c>
      <c r="H18" s="33">
        <f t="shared" ref="H18:I18" si="10">SUM(H8:H16)</f>
        <v>8433.7450000088484</v>
      </c>
      <c r="I18" s="33">
        <f t="shared" si="10"/>
        <v>3762.7059999992189</v>
      </c>
      <c r="J18" s="33">
        <f t="shared" ref="J18" si="11">SUM(G18:I18)</f>
        <v>29859.680999995027</v>
      </c>
      <c r="K18" s="33"/>
      <c r="L18" s="33">
        <f>SUM(L8:L16)</f>
        <v>19015.063000009432</v>
      </c>
      <c r="M18" s="33">
        <f t="shared" ref="M18:N18" si="12">SUM(M8:M16)</f>
        <v>8884.8889999801813</v>
      </c>
      <c r="N18" s="33">
        <f t="shared" si="12"/>
        <v>4170.1390000092961</v>
      </c>
      <c r="O18" s="33">
        <f t="shared" ref="O18" si="13">SUM(L18:N18)</f>
        <v>32070.090999998909</v>
      </c>
      <c r="Q18" s="231" t="str">
        <f>name!E3</f>
        <v>All occupations</v>
      </c>
      <c r="R18" s="33">
        <f>SUM(R8:R16)</f>
        <v>10422.84799998267</v>
      </c>
      <c r="S18" s="33">
        <f t="shared" ref="S18:T18" si="14">SUM(S8:S16)</f>
        <v>2187.081000011648</v>
      </c>
      <c r="T18" s="33">
        <f t="shared" si="14"/>
        <v>2487.3650000067873</v>
      </c>
      <c r="U18" s="33">
        <f t="shared" ref="U18" si="15">SUM(R18:T18)</f>
        <v>15097.294000001104</v>
      </c>
      <c r="V18" s="33"/>
      <c r="W18" s="33">
        <f>SUM(W8:W16)</f>
        <v>10674.974999994531</v>
      </c>
      <c r="X18" s="33">
        <f t="shared" ref="X18:Y18" si="16">SUM(X8:X16)</f>
        <v>2506.56300000179</v>
      </c>
      <c r="Y18" s="33">
        <f t="shared" si="16"/>
        <v>2297.9780000038145</v>
      </c>
      <c r="Z18" s="33">
        <f t="shared" ref="Z18" si="17">SUM(W18:Y18)</f>
        <v>15479.516000000134</v>
      </c>
      <c r="AA18" s="33"/>
      <c r="AB18" s="33">
        <f>SUM(AB8:AB16)</f>
        <v>11154.122999996034</v>
      </c>
      <c r="AC18" s="33">
        <f t="shared" ref="AC18:AD18" si="18">SUM(AC8:AC16)</f>
        <v>2786.484000001386</v>
      </c>
      <c r="AD18" s="33">
        <f t="shared" si="18"/>
        <v>2542.9000000027286</v>
      </c>
      <c r="AE18" s="33">
        <f t="shared" ref="AE18" si="19">SUM(AB18:AD18)</f>
        <v>16483.507000000151</v>
      </c>
      <c r="AG18" s="231" t="str">
        <f>name!E3</f>
        <v>All occupations</v>
      </c>
      <c r="AH18" s="33">
        <f>SUM(AH8:AH16)</f>
        <v>6446.1549999793624</v>
      </c>
      <c r="AI18" s="33">
        <f t="shared" ref="AI18:AJ18" si="20">SUM(AI8:AI16)</f>
        <v>5802.154000023801</v>
      </c>
      <c r="AJ18" s="33">
        <f t="shared" si="20"/>
        <v>1310.5689999934925</v>
      </c>
      <c r="AK18" s="33">
        <f t="shared" si="6"/>
        <v>13558.877999996655</v>
      </c>
      <c r="AL18" s="33"/>
      <c r="AM18" s="33">
        <f>SUM(AM8:AM16)</f>
        <v>6988.2549999924322</v>
      </c>
      <c r="AN18" s="33">
        <f t="shared" ref="AN18:AO18" si="21">SUM(AN8:AN16)</f>
        <v>5927.1820000070566</v>
      </c>
      <c r="AO18" s="33">
        <f t="shared" si="21"/>
        <v>1464.7279999954035</v>
      </c>
      <c r="AP18" s="33">
        <f t="shared" si="7"/>
        <v>14380.164999994893</v>
      </c>
      <c r="AQ18" s="33"/>
      <c r="AR18" s="33">
        <f>SUM(AR8:AR16)</f>
        <v>7860.9400000134001</v>
      </c>
      <c r="AS18" s="33">
        <f t="shared" ref="AS18:AT18" si="22">SUM(AS8:AS16)</f>
        <v>6098.404999978794</v>
      </c>
      <c r="AT18" s="33">
        <f t="shared" si="22"/>
        <v>1627.2390000065682</v>
      </c>
      <c r="AU18" s="33">
        <f t="shared" si="8"/>
        <v>15586.583999998762</v>
      </c>
    </row>
    <row r="19" spans="1:47" x14ac:dyDescent="0.3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3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3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3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3">
      <c r="B23" s="376">
        <f>B5</f>
        <v>2015</v>
      </c>
      <c r="C23" s="376"/>
      <c r="D23" s="376"/>
      <c r="E23" s="376"/>
      <c r="F23" s="1"/>
      <c r="G23" s="376">
        <f>G5</f>
        <v>2020</v>
      </c>
      <c r="H23" s="376"/>
      <c r="I23" s="376"/>
      <c r="J23" s="376"/>
      <c r="K23" s="1"/>
      <c r="L23" s="376">
        <f>L5</f>
        <v>2035</v>
      </c>
      <c r="M23" s="376"/>
      <c r="N23" s="376"/>
      <c r="O23" s="376"/>
      <c r="R23" s="376">
        <f>R5</f>
        <v>2015</v>
      </c>
      <c r="S23" s="376"/>
      <c r="T23" s="376"/>
      <c r="U23" s="376"/>
      <c r="V23" s="1"/>
      <c r="W23" s="376">
        <f>W5</f>
        <v>2020</v>
      </c>
      <c r="X23" s="376"/>
      <c r="Y23" s="376"/>
      <c r="Z23" s="376"/>
      <c r="AA23" s="1"/>
      <c r="AB23" s="376">
        <f>AB5</f>
        <v>2035</v>
      </c>
      <c r="AC23" s="376"/>
      <c r="AD23" s="376"/>
      <c r="AE23" s="376"/>
      <c r="AH23" s="376">
        <f>AH5</f>
        <v>2015</v>
      </c>
      <c r="AI23" s="376"/>
      <c r="AJ23" s="376"/>
      <c r="AK23" s="376"/>
      <c r="AL23" s="1"/>
      <c r="AM23" s="376">
        <f>AM5</f>
        <v>2020</v>
      </c>
      <c r="AN23" s="376"/>
      <c r="AO23" s="376"/>
      <c r="AP23" s="376"/>
      <c r="AQ23" s="1"/>
      <c r="AR23" s="376">
        <f>AR5</f>
        <v>2035</v>
      </c>
      <c r="AS23" s="376"/>
      <c r="AT23" s="376"/>
      <c r="AU23" s="376"/>
    </row>
    <row r="24" spans="1:47" x14ac:dyDescent="0.3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3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3">
      <c r="A26" t="str">
        <f>$A$8</f>
        <v>Managers, directors and senior officials</v>
      </c>
      <c r="B26" s="17">
        <f>B8/B$18*100</f>
        <v>12.052482376384372</v>
      </c>
      <c r="C26" s="17">
        <f t="shared" ref="C26:O26" si="23">C8/C$18*100</f>
        <v>3.5582841219209524</v>
      </c>
      <c r="D26" s="17">
        <f t="shared" si="23"/>
        <v>13.310965185527326</v>
      </c>
      <c r="E26" s="17">
        <f t="shared" si="23"/>
        <v>9.8511237530991611</v>
      </c>
      <c r="F26" s="17"/>
      <c r="G26" s="17">
        <f t="shared" si="23"/>
        <v>13.026101955294859</v>
      </c>
      <c r="H26" s="17">
        <f t="shared" si="23"/>
        <v>5.1631926817804334</v>
      </c>
      <c r="I26" s="17">
        <f t="shared" si="23"/>
        <v>14.927613583566753</v>
      </c>
      <c r="J26" s="17">
        <f t="shared" si="23"/>
        <v>11.044870388947302</v>
      </c>
      <c r="K26" s="17"/>
      <c r="L26" s="17">
        <f t="shared" si="23"/>
        <v>13.609208577474718</v>
      </c>
      <c r="M26" s="17">
        <f t="shared" si="23"/>
        <v>6.2722878416872856</v>
      </c>
      <c r="N26" s="17">
        <f t="shared" si="23"/>
        <v>15.636800319498576</v>
      </c>
      <c r="O26" s="17">
        <f t="shared" si="23"/>
        <v>11.840196230749052</v>
      </c>
      <c r="Q26" t="str">
        <f>$A$8</f>
        <v>Managers, directors and senior officials</v>
      </c>
      <c r="R26" s="17">
        <f>R8/R$18*100</f>
        <v>13.721563723854832</v>
      </c>
      <c r="S26" s="17">
        <f t="shared" ref="S26:U26" si="24">S8/S$18*100</f>
        <v>4.8232119907229576</v>
      </c>
      <c r="T26" s="17">
        <f t="shared" si="24"/>
        <v>13.593861144340252</v>
      </c>
      <c r="U26" s="17">
        <f t="shared" si="24"/>
        <v>12.411457493317949</v>
      </c>
      <c r="V26" s="17"/>
      <c r="W26" s="17">
        <f t="shared" ref="W26:Z26" si="25">W8/W$18*100</f>
        <v>14.840528737896436</v>
      </c>
      <c r="X26" s="17">
        <f t="shared" si="25"/>
        <v>6.6634989560544824</v>
      </c>
      <c r="Y26" s="17">
        <f t="shared" si="25"/>
        <v>15.146722865628451</v>
      </c>
      <c r="Z26" s="17">
        <f t="shared" si="25"/>
        <v>13.56189619332469</v>
      </c>
      <c r="AA26" s="17"/>
      <c r="AB26" s="17">
        <f t="shared" ref="AB26:AE26" si="26">AB8/AB$18*100</f>
        <v>14.908012377361409</v>
      </c>
      <c r="AC26" s="17">
        <f t="shared" si="26"/>
        <v>8.0731917499964911</v>
      </c>
      <c r="AD26" s="17">
        <f t="shared" si="26"/>
        <v>16.253740307095825</v>
      </c>
      <c r="AE26" s="17">
        <f t="shared" si="26"/>
        <v>13.960212448104464</v>
      </c>
      <c r="AG26" t="str">
        <f>$A$8</f>
        <v>Managers, directors and senior officials</v>
      </c>
      <c r="AH26" s="17">
        <f>AH8/AH$18*100</f>
        <v>9.3537292151049964</v>
      </c>
      <c r="AI26" s="17">
        <f t="shared" ref="AI26:AK26" si="27">AI8/AI$18*100</f>
        <v>3.0814784893522966</v>
      </c>
      <c r="AJ26" s="17">
        <f t="shared" si="27"/>
        <v>12.774049153942475</v>
      </c>
      <c r="AK26" s="17">
        <f t="shared" si="27"/>
        <v>7.0002896933624115</v>
      </c>
      <c r="AL26" s="17"/>
      <c r="AM26" s="17">
        <f t="shared" ref="AM26:AP26" si="28">AM8/AM$18*100</f>
        <v>10.254457167917531</v>
      </c>
      <c r="AN26" s="17">
        <f t="shared" si="28"/>
        <v>4.5287238573438957</v>
      </c>
      <c r="AO26" s="17">
        <f t="shared" si="28"/>
        <v>14.583858080991549</v>
      </c>
      <c r="AP26" s="17">
        <f t="shared" si="28"/>
        <v>8.3354201697539168</v>
      </c>
      <c r="AQ26" s="17"/>
      <c r="AR26" s="17">
        <f t="shared" ref="AR26:AU26" si="29">AR8/AR$18*100</f>
        <v>11.766296999880485</v>
      </c>
      <c r="AS26" s="17">
        <f t="shared" si="29"/>
        <v>5.4494185953743575</v>
      </c>
      <c r="AT26" s="17">
        <f t="shared" si="29"/>
        <v>14.672703039101295</v>
      </c>
      <c r="AU26" s="17">
        <f t="shared" si="29"/>
        <v>9.5981846290475819</v>
      </c>
    </row>
    <row r="27" spans="1:47" x14ac:dyDescent="0.3">
      <c r="A27" t="str">
        <f>$A$9</f>
        <v>Professional occupations</v>
      </c>
      <c r="B27" s="17">
        <f t="shared" ref="B27:B34" si="30">B9/B$18*100</f>
        <v>24.442218055471223</v>
      </c>
      <c r="C27" s="17">
        <f t="shared" ref="C27:O27" si="31">C9/C$18*100</f>
        <v>13.454794674561393</v>
      </c>
      <c r="D27" s="17">
        <f t="shared" si="31"/>
        <v>18.829977553202156</v>
      </c>
      <c r="E27" s="17">
        <f t="shared" si="31"/>
        <v>20.635148972596948</v>
      </c>
      <c r="F27" s="17"/>
      <c r="G27" s="17">
        <f t="shared" si="31"/>
        <v>28.050007870665539</v>
      </c>
      <c r="H27" s="17">
        <f t="shared" si="31"/>
        <v>15.814979021416814</v>
      </c>
      <c r="I27" s="17">
        <f t="shared" si="31"/>
        <v>20.054068510673403</v>
      </c>
      <c r="J27" s="17">
        <f t="shared" si="31"/>
        <v>23.586682144318701</v>
      </c>
      <c r="K27" s="17"/>
      <c r="L27" s="17">
        <f t="shared" si="31"/>
        <v>31.551855226742166</v>
      </c>
      <c r="M27" s="17">
        <f t="shared" si="31"/>
        <v>18.66567407523635</v>
      </c>
      <c r="N27" s="17">
        <f t="shared" si="31"/>
        <v>18.096622144074821</v>
      </c>
      <c r="O27" s="17">
        <f t="shared" si="31"/>
        <v>26.232179601343464</v>
      </c>
      <c r="Q27" t="str">
        <f>$A$9</f>
        <v>Professional occupations</v>
      </c>
      <c r="R27" s="17">
        <f t="shared" ref="R27:U27" si="32">R9/R$18*100</f>
        <v>23.07022664025374</v>
      </c>
      <c r="S27" s="17">
        <f t="shared" si="32"/>
        <v>9.7236681405471028</v>
      </c>
      <c r="T27" s="17">
        <f t="shared" si="32"/>
        <v>18.298484082746704</v>
      </c>
      <c r="U27" s="17">
        <f t="shared" si="32"/>
        <v>20.350595563529978</v>
      </c>
      <c r="V27" s="17"/>
      <c r="W27" s="17">
        <f t="shared" ref="W27:Z27" si="33">W9/W$18*100</f>
        <v>26.529642374088297</v>
      </c>
      <c r="X27" s="17">
        <f t="shared" si="33"/>
        <v>12.699982376646835</v>
      </c>
      <c r="Y27" s="17">
        <f t="shared" si="33"/>
        <v>18.621343488201354</v>
      </c>
      <c r="Z27" s="17">
        <f t="shared" si="33"/>
        <v>23.116227451463196</v>
      </c>
      <c r="AA27" s="17"/>
      <c r="AB27" s="17">
        <f t="shared" ref="AB27:AE27" si="34">AB9/AB$18*100</f>
        <v>29.866469111931089</v>
      </c>
      <c r="AC27" s="17">
        <f t="shared" si="34"/>
        <v>15.552954577091521</v>
      </c>
      <c r="AD27" s="17">
        <f t="shared" si="34"/>
        <v>15.84852725953656</v>
      </c>
      <c r="AE27" s="17">
        <f t="shared" si="34"/>
        <v>25.284276525631981</v>
      </c>
      <c r="AG27" t="str">
        <f>$A$9</f>
        <v>Professional occupations</v>
      </c>
      <c r="AH27" s="17">
        <f t="shared" ref="AH27:AK27" si="35">AH9/AH$18*100</f>
        <v>26.660603740913029</v>
      </c>
      <c r="AI27" s="17">
        <f t="shared" si="35"/>
        <v>14.861216488106589</v>
      </c>
      <c r="AJ27" s="17">
        <f t="shared" si="35"/>
        <v>19.838713648859521</v>
      </c>
      <c r="AK27" s="17">
        <f t="shared" si="35"/>
        <v>20.951988350854361</v>
      </c>
      <c r="AL27" s="17"/>
      <c r="AM27" s="17">
        <f t="shared" ref="AM27:AP27" si="36">AM9/AM$18*100</f>
        <v>30.372456560193068</v>
      </c>
      <c r="AN27" s="17">
        <f t="shared" si="36"/>
        <v>17.132288888888549</v>
      </c>
      <c r="AO27" s="17">
        <f t="shared" si="36"/>
        <v>22.301837776848455</v>
      </c>
      <c r="AP27" s="17">
        <f t="shared" si="36"/>
        <v>24.093102685761359</v>
      </c>
      <c r="AQ27" s="17"/>
      <c r="AR27" s="17">
        <f t="shared" ref="AR27:AU27" si="37">AR9/AR$18*100</f>
        <v>33.94330001922954</v>
      </c>
      <c r="AS27" s="17">
        <f t="shared" si="37"/>
        <v>20.08793827023538</v>
      </c>
      <c r="AT27" s="17">
        <f t="shared" si="37"/>
        <v>21.609738829377591</v>
      </c>
      <c r="AU27" s="17">
        <f t="shared" si="37"/>
        <v>27.234629335282129</v>
      </c>
    </row>
    <row r="28" spans="1:47" x14ac:dyDescent="0.3">
      <c r="A28" t="str">
        <f>$A$10</f>
        <v>Associate professional occupations</v>
      </c>
      <c r="B28" s="17">
        <f t="shared" si="30"/>
        <v>14.432366251166625</v>
      </c>
      <c r="C28" s="17">
        <f t="shared" ref="C28:O28" si="38">C10/C$18*100</f>
        <v>8.3544566482878437</v>
      </c>
      <c r="D28" s="17">
        <f t="shared" si="38"/>
        <v>15.03515840204302</v>
      </c>
      <c r="E28" s="17">
        <f t="shared" si="38"/>
        <v>12.817758294401585</v>
      </c>
      <c r="F28" s="17"/>
      <c r="G28" s="17">
        <f t="shared" si="38"/>
        <v>15.80124058478545</v>
      </c>
      <c r="H28" s="17">
        <f t="shared" si="38"/>
        <v>9.3461552971680657</v>
      </c>
      <c r="I28" s="17">
        <f t="shared" si="38"/>
        <v>15.230667642983104</v>
      </c>
      <c r="J28" s="17">
        <f t="shared" si="38"/>
        <v>13.906128527136874</v>
      </c>
      <c r="K28" s="17"/>
      <c r="L28" s="17">
        <f t="shared" si="38"/>
        <v>15.427550804550188</v>
      </c>
      <c r="M28" s="17">
        <f t="shared" si="38"/>
        <v>9.604576439497162</v>
      </c>
      <c r="N28" s="17">
        <f t="shared" si="38"/>
        <v>14.555071635590647</v>
      </c>
      <c r="O28" s="17">
        <f t="shared" si="38"/>
        <v>13.700869071953859</v>
      </c>
      <c r="Q28" t="str">
        <f>$A$10</f>
        <v>Associate professional occupations</v>
      </c>
      <c r="R28" s="17">
        <f t="shared" ref="R28:U28" si="39">R10/R$18*100</f>
        <v>14.597807525810941</v>
      </c>
      <c r="S28" s="17">
        <f t="shared" si="39"/>
        <v>7.7041004331201552</v>
      </c>
      <c r="T28" s="17">
        <f t="shared" si="39"/>
        <v>12.174550109186226</v>
      </c>
      <c r="U28" s="17">
        <f t="shared" si="39"/>
        <v>13.199899961303874</v>
      </c>
      <c r="V28" s="17"/>
      <c r="W28" s="17">
        <f t="shared" ref="W28:Z28" si="40">W10/W$18*100</f>
        <v>15.819158571603992</v>
      </c>
      <c r="X28" s="17">
        <f t="shared" si="40"/>
        <v>9.1425307084018836</v>
      </c>
      <c r="Y28" s="17">
        <f t="shared" si="40"/>
        <v>12.175802866294164</v>
      </c>
      <c r="Z28" s="17">
        <f t="shared" si="40"/>
        <v>14.197160853866981</v>
      </c>
      <c r="AA28" s="17"/>
      <c r="AB28" s="17">
        <f t="shared" ref="AB28:AE28" si="41">AB10/AB$18*100</f>
        <v>14.840418246144448</v>
      </c>
      <c r="AC28" s="17">
        <f t="shared" si="41"/>
        <v>7.6892706520344749</v>
      </c>
      <c r="AD28" s="17">
        <f t="shared" si="41"/>
        <v>11.183760051644825</v>
      </c>
      <c r="AE28" s="17">
        <f t="shared" si="41"/>
        <v>13.067429374574905</v>
      </c>
      <c r="AG28" t="str">
        <f>$A$10</f>
        <v>Associate professional occupations</v>
      </c>
      <c r="AH28" s="17">
        <f t="shared" ref="AH28:AK28" si="42">AH10/AH$18*100</f>
        <v>14.16486271478769</v>
      </c>
      <c r="AI28" s="17">
        <f t="shared" si="42"/>
        <v>8.5996038335274783</v>
      </c>
      <c r="AJ28" s="17">
        <f t="shared" si="42"/>
        <v>20.464385666243917</v>
      </c>
      <c r="AK28" s="17">
        <f t="shared" si="42"/>
        <v>12.392258109587186</v>
      </c>
      <c r="AL28" s="17"/>
      <c r="AM28" s="17">
        <f t="shared" ref="AM28:AP28" si="43">AM10/AM$18*100</f>
        <v>15.773869794604131</v>
      </c>
      <c r="AN28" s="17">
        <f t="shared" si="43"/>
        <v>9.4322666836737081</v>
      </c>
      <c r="AO28" s="17">
        <f t="shared" si="43"/>
        <v>20.023374582319111</v>
      </c>
      <c r="AP28" s="17">
        <f t="shared" si="43"/>
        <v>13.592847034321057</v>
      </c>
      <c r="AQ28" s="17"/>
      <c r="AR28" s="17">
        <f t="shared" ref="AR28:AU28" si="44">AR10/AR$18*100</f>
        <v>16.260650761266408</v>
      </c>
      <c r="AS28" s="17">
        <f t="shared" si="44"/>
        <v>10.479718207204197</v>
      </c>
      <c r="AT28" s="17">
        <f t="shared" si="44"/>
        <v>19.823448454724442</v>
      </c>
      <c r="AU28" s="17">
        <f t="shared" si="44"/>
        <v>14.370759773202114</v>
      </c>
    </row>
    <row r="29" spans="1:47" x14ac:dyDescent="0.3">
      <c r="A29" t="str">
        <f>$A$11</f>
        <v>Administrative and secretarial occupations</v>
      </c>
      <c r="B29" s="17">
        <f t="shared" si="30"/>
        <v>10.564350766352193</v>
      </c>
      <c r="C29" s="17">
        <f t="shared" ref="C29:O29" si="45">C11/C$18*100</f>
        <v>15.367268643625259</v>
      </c>
      <c r="D29" s="17">
        <f t="shared" si="45"/>
        <v>3.6774179835229086</v>
      </c>
      <c r="E29" s="17">
        <f t="shared" si="45"/>
        <v>10.99062973465902</v>
      </c>
      <c r="F29" s="17"/>
      <c r="G29" s="17">
        <f t="shared" si="45"/>
        <v>10.118380593717724</v>
      </c>
      <c r="H29" s="17">
        <f t="shared" si="45"/>
        <v>14.575164296880613</v>
      </c>
      <c r="I29" s="17">
        <f t="shared" si="45"/>
        <v>3.4699843942432378</v>
      </c>
      <c r="J29" s="17">
        <f t="shared" si="45"/>
        <v>10.539397047394452</v>
      </c>
      <c r="K29" s="17"/>
      <c r="L29" s="17">
        <f t="shared" si="45"/>
        <v>8.0772225225840177</v>
      </c>
      <c r="M29" s="17">
        <f t="shared" si="45"/>
        <v>11.833908306985728</v>
      </c>
      <c r="N29" s="17">
        <f t="shared" si="45"/>
        <v>3.1846297528135747</v>
      </c>
      <c r="O29" s="17">
        <f t="shared" si="45"/>
        <v>8.4818033602819796</v>
      </c>
      <c r="Q29" t="str">
        <f>$A$11</f>
        <v>Administrative and secretarial occupations</v>
      </c>
      <c r="R29" s="17">
        <f t="shared" ref="R29:U29" si="46">R11/R$18*100</f>
        <v>5.5928326331550942</v>
      </c>
      <c r="S29" s="17">
        <f t="shared" si="46"/>
        <v>6.9494028846769611</v>
      </c>
      <c r="T29" s="17">
        <f t="shared" si="46"/>
        <v>1.5682665460390686</v>
      </c>
      <c r="U29" s="17">
        <f t="shared" si="46"/>
        <v>5.1262830777830093</v>
      </c>
      <c r="V29" s="17"/>
      <c r="W29" s="17">
        <f t="shared" ref="W29:Z29" si="47">W11/W$18*100</f>
        <v>5.9712778960790827</v>
      </c>
      <c r="X29" s="17">
        <f t="shared" si="47"/>
        <v>7.502007996920609</v>
      </c>
      <c r="Y29" s="17">
        <f t="shared" si="47"/>
        <v>1.3566933410291326</v>
      </c>
      <c r="Z29" s="17">
        <f t="shared" si="47"/>
        <v>5.5340974084654038</v>
      </c>
      <c r="AA29" s="17"/>
      <c r="AB29" s="17">
        <f t="shared" ref="AB29:AE29" si="48">AB11/AB$18*100</f>
        <v>6.0716248128488672</v>
      </c>
      <c r="AC29" s="17">
        <f t="shared" si="48"/>
        <v>6.4676989203010171</v>
      </c>
      <c r="AD29" s="17">
        <f t="shared" si="48"/>
        <v>1.6972433214808007</v>
      </c>
      <c r="AE29" s="17">
        <f t="shared" si="48"/>
        <v>5.4637468575580748</v>
      </c>
      <c r="AG29" t="str">
        <f>$A$11</f>
        <v>Administrative and secretarial occupations</v>
      </c>
      <c r="AH29" s="17">
        <f t="shared" ref="AH29:AK29" si="49">AH11/AH$18*100</f>
        <v>18.602844695157334</v>
      </c>
      <c r="AI29" s="17">
        <f t="shared" si="49"/>
        <v>18.540323730058486</v>
      </c>
      <c r="AJ29" s="17">
        <f t="shared" si="49"/>
        <v>7.6804345857295608</v>
      </c>
      <c r="AK29" s="17">
        <f t="shared" si="49"/>
        <v>17.520356279643249</v>
      </c>
      <c r="AL29" s="17"/>
      <c r="AM29" s="17">
        <f t="shared" ref="AM29:AP29" si="50">AM11/AM$18*100</f>
        <v>16.453326530829411</v>
      </c>
      <c r="AN29" s="17">
        <f t="shared" si="50"/>
        <v>17.56635165618362</v>
      </c>
      <c r="AO29" s="17">
        <f t="shared" si="50"/>
        <v>6.7854780202995055</v>
      </c>
      <c r="AP29" s="17">
        <f t="shared" si="50"/>
        <v>15.92734745308346</v>
      </c>
      <c r="AQ29" s="17"/>
      <c r="AR29" s="17">
        <f t="shared" ref="AR29:AU29" si="51">AR11/AR$18*100</f>
        <v>10.92302512925167</v>
      </c>
      <c r="AS29" s="17">
        <f t="shared" si="51"/>
        <v>14.285837392821474</v>
      </c>
      <c r="AT29" s="17">
        <f t="shared" si="51"/>
        <v>5.5089809736390976</v>
      </c>
      <c r="AU29" s="17">
        <f t="shared" si="51"/>
        <v>11.673532573626565</v>
      </c>
    </row>
    <row r="30" spans="1:47" x14ac:dyDescent="0.3">
      <c r="A30" t="str">
        <f>$A$12</f>
        <v>Skilled trades occupations</v>
      </c>
      <c r="B30" s="17">
        <f t="shared" si="30"/>
        <v>9.9970577277260197</v>
      </c>
      <c r="C30" s="17">
        <f t="shared" ref="C30:O30" si="52">C12/C$18*100</f>
        <v>3.3853008950870893</v>
      </c>
      <c r="D30" s="17">
        <f t="shared" si="52"/>
        <v>24.561441676943925</v>
      </c>
      <c r="E30" s="17">
        <f t="shared" si="52"/>
        <v>10.084008974764556</v>
      </c>
      <c r="F30" s="17"/>
      <c r="G30" s="17">
        <f t="shared" si="52"/>
        <v>8.1456104997708199</v>
      </c>
      <c r="H30" s="17">
        <f t="shared" si="52"/>
        <v>2.8098391659191391</v>
      </c>
      <c r="I30" s="17">
        <f t="shared" si="52"/>
        <v>22.178869673950974</v>
      </c>
      <c r="J30" s="17">
        <f t="shared" si="52"/>
        <v>8.4069158260457684</v>
      </c>
      <c r="K30" s="17"/>
      <c r="L30" s="17">
        <f t="shared" si="52"/>
        <v>6.7480727293890057</v>
      </c>
      <c r="M30" s="17">
        <f t="shared" si="52"/>
        <v>3.1398607743830507</v>
      </c>
      <c r="N30" s="17">
        <f t="shared" si="52"/>
        <v>22.349729858172321</v>
      </c>
      <c r="O30" s="17">
        <f t="shared" si="52"/>
        <v>7.7771473319177016</v>
      </c>
      <c r="Q30" t="str">
        <f>$A$12</f>
        <v>Skilled trades occupations</v>
      </c>
      <c r="R30" s="17">
        <f t="shared" ref="R30:U30" si="53">R12/R$18*100</f>
        <v>14.933231240974887</v>
      </c>
      <c r="S30" s="17">
        <f t="shared" si="53"/>
        <v>8.0826720614077949</v>
      </c>
      <c r="T30" s="17">
        <f t="shared" si="53"/>
        <v>34.039615415741899</v>
      </c>
      <c r="U30" s="17">
        <f t="shared" si="53"/>
        <v>17.088705159142613</v>
      </c>
      <c r="V30" s="17"/>
      <c r="W30" s="17">
        <f t="shared" ref="W30:Z30" si="54">W12/W$18*100</f>
        <v>12.231913614264869</v>
      </c>
      <c r="X30" s="17">
        <f t="shared" si="54"/>
        <v>5.9002612248427173</v>
      </c>
      <c r="Y30" s="17">
        <f t="shared" si="54"/>
        <v>31.932322274774734</v>
      </c>
      <c r="Z30" s="17">
        <f t="shared" si="54"/>
        <v>14.131224941875987</v>
      </c>
      <c r="AA30" s="17"/>
      <c r="AB30" s="17">
        <f t="shared" ref="AB30:AE30" si="55">AB12/AB$18*100</f>
        <v>10.024770310728167</v>
      </c>
      <c r="AC30" s="17">
        <f t="shared" si="55"/>
        <v>6.2633255373725039</v>
      </c>
      <c r="AD30" s="17">
        <f t="shared" si="55"/>
        <v>31.507937854792704</v>
      </c>
      <c r="AE30" s="17">
        <f t="shared" si="55"/>
        <v>12.70310454324407</v>
      </c>
      <c r="AG30" t="str">
        <f>$A$12</f>
        <v>Skilled trades occupations</v>
      </c>
      <c r="AH30" s="17">
        <f t="shared" ref="AH30:AK30" si="56">AH12/AH$18*100</f>
        <v>2.0157128437916301</v>
      </c>
      <c r="AI30" s="17">
        <f t="shared" si="56"/>
        <v>1.6146599869311866</v>
      </c>
      <c r="AJ30" s="17">
        <f t="shared" si="56"/>
        <v>6.5725546958032774</v>
      </c>
      <c r="AK30" s="17">
        <f t="shared" si="56"/>
        <v>2.2845466832484425</v>
      </c>
      <c r="AL30" s="17"/>
      <c r="AM30" s="17">
        <f t="shared" ref="AM30:AP30" si="57">AM12/AM$18*100</f>
        <v>1.903539540758753</v>
      </c>
      <c r="AN30" s="17">
        <f t="shared" si="57"/>
        <v>1.5029217155560544</v>
      </c>
      <c r="AO30" s="17">
        <f t="shared" si="57"/>
        <v>6.8769026870132501</v>
      </c>
      <c r="AP30" s="17">
        <f t="shared" si="57"/>
        <v>2.2449882996598176</v>
      </c>
      <c r="AQ30" s="17"/>
      <c r="AR30" s="17">
        <f t="shared" ref="AR30:AU30" si="58">AR12/AR$18*100</f>
        <v>2.0986684779910343</v>
      </c>
      <c r="AS30" s="17">
        <f t="shared" si="58"/>
        <v>1.7126868515838101</v>
      </c>
      <c r="AT30" s="17">
        <f t="shared" si="58"/>
        <v>8.0381215974700346</v>
      </c>
      <c r="AU30" s="17">
        <f t="shared" si="58"/>
        <v>2.5677281176366242</v>
      </c>
    </row>
    <row r="31" spans="1:47" x14ac:dyDescent="0.3">
      <c r="A31" t="str">
        <f>$A$13</f>
        <v>Caring, leisure and other service occupations</v>
      </c>
      <c r="B31" s="17">
        <f t="shared" si="30"/>
        <v>7.4599976938847581</v>
      </c>
      <c r="C31" s="17">
        <f t="shared" ref="C31:O31" si="59">C13/C$18*100</f>
        <v>14.532335516393122</v>
      </c>
      <c r="D31" s="17">
        <f t="shared" si="59"/>
        <v>7.0308561230781219</v>
      </c>
      <c r="E31" s="17">
        <f t="shared" si="59"/>
        <v>9.3748632768063906</v>
      </c>
      <c r="F31" s="17"/>
      <c r="G31" s="17">
        <f t="shared" si="59"/>
        <v>6.9839861854558842</v>
      </c>
      <c r="H31" s="17">
        <f t="shared" si="59"/>
        <v>13.600183929462789</v>
      </c>
      <c r="I31" s="17">
        <f t="shared" si="59"/>
        <v>8.0418588432364579</v>
      </c>
      <c r="J31" s="17">
        <f t="shared" si="59"/>
        <v>8.9860098654564879</v>
      </c>
      <c r="K31" s="17"/>
      <c r="L31" s="17">
        <f t="shared" si="59"/>
        <v>7.862011208961091</v>
      </c>
      <c r="M31" s="17">
        <f t="shared" si="59"/>
        <v>14.04223886276209</v>
      </c>
      <c r="N31" s="17">
        <f t="shared" si="59"/>
        <v>8.6691938136251956</v>
      </c>
      <c r="O31" s="17">
        <f t="shared" si="59"/>
        <v>9.6791778755125115</v>
      </c>
      <c r="Q31" t="str">
        <f>$A$13</f>
        <v>Caring, leisure and other service occupations</v>
      </c>
      <c r="R31" s="17">
        <f t="shared" ref="R31:U31" si="60">R13/R$18*100</f>
        <v>3.1200449435487498</v>
      </c>
      <c r="S31" s="17">
        <f t="shared" si="60"/>
        <v>6.830721602308774</v>
      </c>
      <c r="T31" s="17">
        <f t="shared" si="60"/>
        <v>1.754497395589981</v>
      </c>
      <c r="U31" s="17">
        <f t="shared" si="60"/>
        <v>3.4326132250515604</v>
      </c>
      <c r="V31" s="17"/>
      <c r="W31" s="17">
        <f t="shared" ref="W31:Z31" si="61">W13/W$18*100</f>
        <v>3.0241380738962005</v>
      </c>
      <c r="X31" s="17">
        <f t="shared" si="61"/>
        <v>6.6917237517596275</v>
      </c>
      <c r="Y31" s="17">
        <f t="shared" si="61"/>
        <v>1.9261509975425022</v>
      </c>
      <c r="Z31" s="17">
        <f t="shared" si="61"/>
        <v>3.455022632154972</v>
      </c>
      <c r="AA31" s="17"/>
      <c r="AB31" s="17">
        <f t="shared" ref="AB31:AE31" si="62">AB13/AB$18*100</f>
        <v>3.7498142268896686</v>
      </c>
      <c r="AC31" s="17">
        <f t="shared" si="62"/>
        <v>7.4332298577124183</v>
      </c>
      <c r="AD31" s="17">
        <f t="shared" si="62"/>
        <v>2.6402683875214508</v>
      </c>
      <c r="AE31" s="17">
        <f t="shared" si="62"/>
        <v>4.2013149060661368</v>
      </c>
      <c r="AG31" t="str">
        <f>$A$13</f>
        <v>Caring, leisure and other service occupations</v>
      </c>
      <c r="AH31" s="17">
        <f t="shared" ref="AH31:AK31" si="63">AH13/AH$18*100</f>
        <v>14.477307678519596</v>
      </c>
      <c r="AI31" s="17">
        <f t="shared" si="63"/>
        <v>17.435404525049229</v>
      </c>
      <c r="AJ31" s="17">
        <f t="shared" si="63"/>
        <v>17.045002670340825</v>
      </c>
      <c r="AK31" s="17">
        <f t="shared" si="63"/>
        <v>15.991332283525573</v>
      </c>
      <c r="AL31" s="17"/>
      <c r="AM31" s="17">
        <f t="shared" ref="AM31:AP31" si="64">AM13/AM$18*100</f>
        <v>13.032889609088963</v>
      </c>
      <c r="AN31" s="17">
        <f t="shared" si="64"/>
        <v>16.52172247314104</v>
      </c>
      <c r="AO31" s="17">
        <f t="shared" si="64"/>
        <v>17.636651926934952</v>
      </c>
      <c r="AP31" s="17">
        <f t="shared" si="64"/>
        <v>14.939836220975893</v>
      </c>
      <c r="AQ31" s="17"/>
      <c r="AR31" s="17">
        <f t="shared" ref="AR31:AU31" si="65">AR13/AR$18*100</f>
        <v>13.696930561883129</v>
      </c>
      <c r="AS31" s="17">
        <f t="shared" si="65"/>
        <v>17.062028110688399</v>
      </c>
      <c r="AT31" s="17">
        <f t="shared" si="65"/>
        <v>18.090646019474356</v>
      </c>
      <c r="AU31" s="17">
        <f t="shared" si="65"/>
        <v>15.47226201774137</v>
      </c>
    </row>
    <row r="32" spans="1:47" x14ac:dyDescent="0.3">
      <c r="A32" t="str">
        <f>$A$14</f>
        <v>Sales and customer service occupations</v>
      </c>
      <c r="B32" s="17">
        <f t="shared" si="30"/>
        <v>5.3673829012850094</v>
      </c>
      <c r="C32" s="17">
        <f t="shared" ref="C32:O32" si="66">C14/C$18*100</f>
        <v>17.275983189810219</v>
      </c>
      <c r="D32" s="17">
        <f t="shared" si="66"/>
        <v>4.3726873619509279</v>
      </c>
      <c r="E32" s="17">
        <f t="shared" si="66"/>
        <v>8.5556251486458716</v>
      </c>
      <c r="F32" s="17"/>
      <c r="G32" s="17">
        <f t="shared" si="66"/>
        <v>4.8787920505899676</v>
      </c>
      <c r="H32" s="17">
        <f t="shared" si="66"/>
        <v>16.396217217596195</v>
      </c>
      <c r="I32" s="17">
        <f t="shared" si="66"/>
        <v>3.1298185597937782</v>
      </c>
      <c r="J32" s="17">
        <f t="shared" si="66"/>
        <v>7.9114484901403941</v>
      </c>
      <c r="K32" s="17"/>
      <c r="L32" s="17">
        <f t="shared" si="66"/>
        <v>4.6315569512654866</v>
      </c>
      <c r="M32" s="17">
        <f t="shared" si="66"/>
        <v>15.816532733101493</v>
      </c>
      <c r="N32" s="17">
        <f t="shared" si="66"/>
        <v>2.4656357414508818</v>
      </c>
      <c r="O32" s="17">
        <f t="shared" si="66"/>
        <v>7.4486701231952877</v>
      </c>
      <c r="Q32" t="str">
        <f>$A$14</f>
        <v>Sales and customer service occupations</v>
      </c>
      <c r="R32" s="17">
        <f t="shared" ref="R32:U32" si="67">R14/R$18*100</f>
        <v>4.3305878695868074</v>
      </c>
      <c r="S32" s="17">
        <f t="shared" si="67"/>
        <v>19.553877231010745</v>
      </c>
      <c r="T32" s="17">
        <f t="shared" si="67"/>
        <v>3.8655662815417378</v>
      </c>
      <c r="U32" s="17">
        <f t="shared" si="67"/>
        <v>6.4593063338159933</v>
      </c>
      <c r="V32" s="17"/>
      <c r="W32" s="17">
        <f t="shared" ref="W32:Z32" si="68">W14/W$18*100</f>
        <v>4.1472641203589609</v>
      </c>
      <c r="X32" s="17">
        <f t="shared" si="68"/>
        <v>18.288735478787412</v>
      </c>
      <c r="Y32" s="17">
        <f t="shared" si="68"/>
        <v>2.9822495720040041</v>
      </c>
      <c r="Z32" s="17">
        <f t="shared" si="68"/>
        <v>6.2642108692636072</v>
      </c>
      <c r="AA32" s="17"/>
      <c r="AB32" s="17">
        <f t="shared" ref="AB32:AE32" si="69">AB14/AB$18*100</f>
        <v>4.3607978231607571</v>
      </c>
      <c r="AC32" s="17">
        <f t="shared" si="69"/>
        <v>17.597277991277359</v>
      </c>
      <c r="AD32" s="17">
        <f t="shared" si="69"/>
        <v>2.3947737319281419</v>
      </c>
      <c r="AE32" s="17">
        <f t="shared" si="69"/>
        <v>6.2950850803076426</v>
      </c>
      <c r="AG32" t="str">
        <f>$A$14</f>
        <v>Sales and customer service occupations</v>
      </c>
      <c r="AH32" s="17">
        <f t="shared" ref="AH32:AK32" si="70">AH14/AH$18*100</f>
        <v>7.0437864352618087</v>
      </c>
      <c r="AI32" s="17">
        <f t="shared" si="70"/>
        <v>16.417347107843259</v>
      </c>
      <c r="AJ32" s="17">
        <f t="shared" si="70"/>
        <v>5.3351664272895043</v>
      </c>
      <c r="AK32" s="17">
        <f t="shared" si="70"/>
        <v>10.889796269975269</v>
      </c>
      <c r="AL32" s="17"/>
      <c r="AM32" s="17">
        <f t="shared" ref="AM32:AP32" si="71">AM14/AM$18*100</f>
        <v>5.9962444570951918</v>
      </c>
      <c r="AN32" s="17">
        <f t="shared" si="71"/>
        <v>15.595884740826618</v>
      </c>
      <c r="AO32" s="17">
        <f t="shared" si="71"/>
        <v>3.3613361435532148</v>
      </c>
      <c r="AP32" s="17">
        <f t="shared" si="71"/>
        <v>9.684615982180528</v>
      </c>
      <c r="AQ32" s="17"/>
      <c r="AR32" s="17">
        <f t="shared" ref="AR32:AU32" si="72">AR14/AR$18*100</f>
        <v>5.0157451804399438</v>
      </c>
      <c r="AS32" s="17">
        <f t="shared" si="72"/>
        <v>15.002874379810322</v>
      </c>
      <c r="AT32" s="17">
        <f t="shared" si="72"/>
        <v>2.5763723966163696</v>
      </c>
      <c r="AU32" s="17">
        <f t="shared" si="72"/>
        <v>8.6686377010516917</v>
      </c>
    </row>
    <row r="33" spans="1:47" x14ac:dyDescent="0.3">
      <c r="A33" t="str">
        <f>$A$15</f>
        <v>Process, plant and machine operatives</v>
      </c>
      <c r="B33" s="17">
        <f t="shared" si="30"/>
        <v>7.4625023623317643</v>
      </c>
      <c r="C33" s="17">
        <f t="shared" ref="C33:O33" si="73">C15/C$18*100</f>
        <v>2.905495144066768</v>
      </c>
      <c r="D33" s="17">
        <f t="shared" si="73"/>
        <v>7.2763013263528293</v>
      </c>
      <c r="E33" s="17">
        <f t="shared" si="73"/>
        <v>6.1673474892747677</v>
      </c>
      <c r="F33" s="17"/>
      <c r="G33" s="17">
        <f t="shared" si="73"/>
        <v>6.1867305590958717</v>
      </c>
      <c r="H33" s="17">
        <f t="shared" si="73"/>
        <v>3.2539346855030389</v>
      </c>
      <c r="I33" s="17">
        <f t="shared" si="73"/>
        <v>7.8383095123513131</v>
      </c>
      <c r="J33" s="17">
        <f t="shared" si="73"/>
        <v>5.5664946463921643</v>
      </c>
      <c r="K33" s="17"/>
      <c r="L33" s="17">
        <f t="shared" si="73"/>
        <v>5.8770201735783818</v>
      </c>
      <c r="M33" s="17">
        <f t="shared" si="73"/>
        <v>4.135836038502072</v>
      </c>
      <c r="N33" s="17">
        <f t="shared" si="73"/>
        <v>8.8031535802601528</v>
      </c>
      <c r="O33" s="17">
        <f t="shared" si="73"/>
        <v>5.7751232151242915</v>
      </c>
      <c r="Q33" t="str">
        <f>$A$15</f>
        <v>Process, plant and machine operatives</v>
      </c>
      <c r="R33" s="17">
        <f t="shared" ref="R33:U33" si="74">R15/R$18*100</f>
        <v>10.791240974728876</v>
      </c>
      <c r="S33" s="17">
        <f t="shared" si="74"/>
        <v>7.8727627272468137</v>
      </c>
      <c r="T33" s="17">
        <f t="shared" si="74"/>
        <v>9.9993566409091219</v>
      </c>
      <c r="U33" s="17">
        <f t="shared" si="74"/>
        <v>10.237985954325111</v>
      </c>
      <c r="V33" s="17"/>
      <c r="W33" s="17">
        <f t="shared" ref="W33:Z33" si="75">W15/W$18*100</f>
        <v>9.190385552860441</v>
      </c>
      <c r="X33" s="17">
        <f t="shared" si="75"/>
        <v>8.7869757388056851</v>
      </c>
      <c r="Y33" s="17">
        <f t="shared" si="75"/>
        <v>11.234084267682993</v>
      </c>
      <c r="Z33" s="17">
        <f t="shared" si="75"/>
        <v>9.4284551780057626</v>
      </c>
      <c r="AA33" s="17"/>
      <c r="AB33" s="17">
        <f t="shared" ref="AB33:AE33" si="76">AB15/AB$18*100</f>
        <v>8.81173233694423</v>
      </c>
      <c r="AC33" s="17">
        <f t="shared" si="76"/>
        <v>9.4771127878572141</v>
      </c>
      <c r="AD33" s="17">
        <f t="shared" si="76"/>
        <v>12.637511282116687</v>
      </c>
      <c r="AE33" s="17">
        <f t="shared" si="76"/>
        <v>9.5144132203310043</v>
      </c>
      <c r="AG33" t="str">
        <f>$A$15</f>
        <v>Process, plant and machine operatives</v>
      </c>
      <c r="AH33" s="17">
        <f t="shared" ref="AH33:AK33" si="77">AH15/AH$18*100</f>
        <v>2.0802339265278782</v>
      </c>
      <c r="AI33" s="17">
        <f t="shared" si="77"/>
        <v>1.0331186864439048</v>
      </c>
      <c r="AJ33" s="17">
        <f t="shared" si="77"/>
        <v>2.1081396480715298</v>
      </c>
      <c r="AK33" s="17">
        <f t="shared" si="77"/>
        <v>1.6348466677028457</v>
      </c>
      <c r="AL33" s="17"/>
      <c r="AM33" s="17">
        <f t="shared" ref="AM33:AP33" si="78">AM15/AM$18*100</f>
        <v>1.5984689734668083</v>
      </c>
      <c r="AN33" s="17">
        <f t="shared" si="78"/>
        <v>0.91405108117253997</v>
      </c>
      <c r="AO33" s="17">
        <f t="shared" si="78"/>
        <v>2.5107567648480198</v>
      </c>
      <c r="AP33" s="17">
        <f t="shared" si="78"/>
        <v>1.4092906198387174</v>
      </c>
      <c r="AQ33" s="17"/>
      <c r="AR33" s="17">
        <f t="shared" ref="AR33:AU33" si="79">AR15/AR$18*100</f>
        <v>1.712869265454003</v>
      </c>
      <c r="AS33" s="17">
        <f t="shared" si="79"/>
        <v>1.6952991765341829</v>
      </c>
      <c r="AT33" s="17">
        <f t="shared" si="79"/>
        <v>2.811170718478897</v>
      </c>
      <c r="AU33" s="17">
        <f t="shared" si="79"/>
        <v>1.8206574402078439</v>
      </c>
    </row>
    <row r="34" spans="1:47" x14ac:dyDescent="0.3">
      <c r="A34" t="str">
        <f>$A$16</f>
        <v>Elementary occupations</v>
      </c>
      <c r="B34" s="17">
        <f t="shared" si="30"/>
        <v>8.2216418653980323</v>
      </c>
      <c r="C34" s="17">
        <f t="shared" ref="C34:O34" si="80">C16/C$18*100</f>
        <v>21.166081166247359</v>
      </c>
      <c r="D34" s="17">
        <f t="shared" si="80"/>
        <v>5.905194387378768</v>
      </c>
      <c r="E34" s="17">
        <f t="shared" si="80"/>
        <v>11.523494355751696</v>
      </c>
      <c r="F34" s="17"/>
      <c r="G34" s="17">
        <f t="shared" si="80"/>
        <v>6.8091497006238857</v>
      </c>
      <c r="H34" s="17">
        <f t="shared" si="80"/>
        <v>19.040333704272918</v>
      </c>
      <c r="I34" s="17">
        <f t="shared" si="80"/>
        <v>5.1288092792009765</v>
      </c>
      <c r="J34" s="17">
        <f t="shared" si="80"/>
        <v>10.052053064167863</v>
      </c>
      <c r="K34" s="17"/>
      <c r="L34" s="17">
        <f t="shared" si="80"/>
        <v>6.2155018054549691</v>
      </c>
      <c r="M34" s="17">
        <f t="shared" si="80"/>
        <v>16.489084927844775</v>
      </c>
      <c r="N34" s="17">
        <f t="shared" si="80"/>
        <v>6.2391631545138102</v>
      </c>
      <c r="O34" s="17">
        <f t="shared" si="80"/>
        <v>9.0648331899218686</v>
      </c>
      <c r="Q34" t="str">
        <f>$A$16</f>
        <v>Elementary occupations</v>
      </c>
      <c r="R34" s="17">
        <f t="shared" ref="R34:U34" si="81">R16/R$18*100</f>
        <v>9.842464448086071</v>
      </c>
      <c r="S34" s="17">
        <f t="shared" si="81"/>
        <v>28.459582928958703</v>
      </c>
      <c r="T34" s="17">
        <f t="shared" si="81"/>
        <v>4.7058023839050183</v>
      </c>
      <c r="U34" s="17">
        <f t="shared" si="81"/>
        <v>11.693153231729925</v>
      </c>
      <c r="V34" s="17"/>
      <c r="W34" s="17">
        <f t="shared" ref="W34:Z34" si="82">W16/W$18*100</f>
        <v>8.2456910589517225</v>
      </c>
      <c r="X34" s="17">
        <f t="shared" si="82"/>
        <v>24.324283767780734</v>
      </c>
      <c r="Y34" s="17">
        <f t="shared" si="82"/>
        <v>4.6246303268426558</v>
      </c>
      <c r="Z34" s="17">
        <f t="shared" si="82"/>
        <v>10.3117044715794</v>
      </c>
      <c r="AA34" s="17"/>
      <c r="AB34" s="17">
        <f t="shared" ref="AB34:AE34" si="83">AB16/AB$18*100</f>
        <v>7.3663607539913549</v>
      </c>
      <c r="AC34" s="17">
        <f t="shared" si="83"/>
        <v>21.445937926357004</v>
      </c>
      <c r="AD34" s="17">
        <f t="shared" si="83"/>
        <v>5.8362378038829981</v>
      </c>
      <c r="AE34" s="17">
        <f t="shared" si="83"/>
        <v>9.5104170441817004</v>
      </c>
      <c r="AG34" t="str">
        <f>$A$16</f>
        <v>Elementary occupations</v>
      </c>
      <c r="AH34" s="17">
        <f t="shared" ref="AH34:AK34" si="84">AH16/AH$18*100</f>
        <v>5.6009187499360307</v>
      </c>
      <c r="AI34" s="17">
        <f t="shared" si="84"/>
        <v>18.41684715268757</v>
      </c>
      <c r="AJ34" s="17">
        <f t="shared" si="84"/>
        <v>8.1815535037193996</v>
      </c>
      <c r="AK34" s="17">
        <f t="shared" si="84"/>
        <v>11.334585662100665</v>
      </c>
      <c r="AL34" s="17"/>
      <c r="AM34" s="17">
        <f t="shared" ref="AM34:AP34" si="85">AM16/AM$18*100</f>
        <v>4.6147473660461422</v>
      </c>
      <c r="AN34" s="17">
        <f t="shared" si="85"/>
        <v>16.805788903213976</v>
      </c>
      <c r="AO34" s="17">
        <f t="shared" si="85"/>
        <v>5.9198040171919457</v>
      </c>
      <c r="AP34" s="17">
        <f t="shared" si="85"/>
        <v>9.7725515344252507</v>
      </c>
      <c r="AQ34" s="17"/>
      <c r="AR34" s="17">
        <f t="shared" ref="AR34:AU34" si="86">AR16/AR$18*100</f>
        <v>4.5825136046037827</v>
      </c>
      <c r="AS34" s="17">
        <f t="shared" si="86"/>
        <v>14.224199015747905</v>
      </c>
      <c r="AT34" s="17">
        <f t="shared" si="86"/>
        <v>6.8688179711179211</v>
      </c>
      <c r="AU34" s="17">
        <f t="shared" si="86"/>
        <v>8.5936084122040874</v>
      </c>
    </row>
    <row r="35" spans="1:47" x14ac:dyDescent="0.3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3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3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3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3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3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3">
      <c r="B41" s="376" t="str">
        <f>B5&amp;"-"&amp;G5</f>
        <v>2015-2020</v>
      </c>
      <c r="C41" s="376"/>
      <c r="D41" s="376"/>
      <c r="E41" s="376"/>
      <c r="F41" s="1"/>
      <c r="G41" s="376" t="str">
        <f>G5&amp;"-"&amp;L5</f>
        <v>2020-2035</v>
      </c>
      <c r="H41" s="376"/>
      <c r="I41" s="376"/>
      <c r="J41" s="376"/>
      <c r="K41" s="1"/>
      <c r="L41" s="376" t="str">
        <f>B5&amp;"-"&amp;L5</f>
        <v>2015-2035</v>
      </c>
      <c r="M41" s="376"/>
      <c r="N41" s="376"/>
      <c r="O41" s="376"/>
      <c r="R41" s="376" t="str">
        <f>R5&amp;"-"&amp;W5</f>
        <v>2015-2020</v>
      </c>
      <c r="S41" s="376"/>
      <c r="T41" s="376"/>
      <c r="U41" s="376"/>
      <c r="V41" s="1"/>
      <c r="W41" s="376" t="str">
        <f>W5&amp;"-"&amp;AB5</f>
        <v>2020-2035</v>
      </c>
      <c r="X41" s="376"/>
      <c r="Y41" s="376"/>
      <c r="Z41" s="376"/>
      <c r="AA41" s="1"/>
      <c r="AB41" s="376" t="str">
        <f>R5&amp;"-"&amp;AB5</f>
        <v>2015-2035</v>
      </c>
      <c r="AC41" s="376"/>
      <c r="AD41" s="376"/>
      <c r="AE41" s="376"/>
      <c r="AH41" s="376" t="str">
        <f>AH5&amp;"-"&amp;AM5</f>
        <v>2015-2020</v>
      </c>
      <c r="AI41" s="376"/>
      <c r="AJ41" s="376"/>
      <c r="AK41" s="376"/>
      <c r="AL41" s="1"/>
      <c r="AM41" s="376" t="str">
        <f>AM5&amp;"-"&amp;AR5</f>
        <v>2020-2035</v>
      </c>
      <c r="AN41" s="376"/>
      <c r="AO41" s="376"/>
      <c r="AP41" s="376"/>
      <c r="AQ41" s="1"/>
      <c r="AR41" s="376" t="str">
        <f>AH5&amp;"-"&amp;AR5</f>
        <v>2015-2035</v>
      </c>
      <c r="AS41" s="376"/>
      <c r="AT41" s="376"/>
      <c r="AU41" s="376"/>
    </row>
    <row r="42" spans="1:47" x14ac:dyDescent="0.3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3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3">
      <c r="A44" t="str">
        <f>$A$8</f>
        <v>Managers, directors and senior officials</v>
      </c>
      <c r="B44" s="26">
        <f>G8-B8</f>
        <v>267.69673475435411</v>
      </c>
      <c r="C44" s="26">
        <f t="shared" ref="C44:E44" si="94">H8-C8</f>
        <v>151.17082417126738</v>
      </c>
      <c r="D44" s="26">
        <f t="shared" si="94"/>
        <v>56.140539456221632</v>
      </c>
      <c r="E44" s="26">
        <f t="shared" si="94"/>
        <v>475.00809838184341</v>
      </c>
      <c r="F44" s="26"/>
      <c r="G44" s="26">
        <f>L8-G8</f>
        <v>286.96923641297553</v>
      </c>
      <c r="H44" s="26">
        <f t="shared" ref="H44:J44" si="95">M8-H8</f>
        <v>121.83530785268783</v>
      </c>
      <c r="I44" s="26">
        <f t="shared" si="95"/>
        <v>90.394096511423641</v>
      </c>
      <c r="J44" s="26">
        <f t="shared" si="95"/>
        <v>499.19864077708689</v>
      </c>
      <c r="K44" s="26"/>
      <c r="L44" s="26">
        <f>L8-B8</f>
        <v>554.66597116732964</v>
      </c>
      <c r="M44" s="26">
        <f t="shared" ref="M44:O44" si="96">M8-C8</f>
        <v>273.00613202395522</v>
      </c>
      <c r="N44" s="26">
        <f t="shared" si="96"/>
        <v>146.53463596764527</v>
      </c>
      <c r="O44" s="26">
        <f t="shared" si="96"/>
        <v>974.2067391589303</v>
      </c>
      <c r="Q44" t="str">
        <f>$A$8</f>
        <v>Managers, directors and senior officials</v>
      </c>
      <c r="R44" s="26">
        <f>W8-R8</f>
        <v>154.04500247929741</v>
      </c>
      <c r="S44" s="26">
        <f t="shared" ref="S44:S52" si="97">X8-S8</f>
        <v>61.537246298581792</v>
      </c>
      <c r="T44" s="26">
        <f t="shared" ref="T44:T52" si="98">Y8-T8</f>
        <v>9.939414919847593</v>
      </c>
      <c r="U44" s="26">
        <f t="shared" ref="U44:U52" si="99">Z8-U8</f>
        <v>225.52166369772658</v>
      </c>
      <c r="V44" s="26"/>
      <c r="W44" s="26">
        <f>AB8-W8</f>
        <v>78.635304788076155</v>
      </c>
      <c r="X44" s="26">
        <f t="shared" ref="X44:X52" si="100">AC8-X8</f>
        <v>57.933397065116907</v>
      </c>
      <c r="Y44" s="26">
        <f t="shared" ref="Y44:Y52" si="101">AD8-Y8</f>
        <v>65.248003095894148</v>
      </c>
      <c r="Z44" s="26">
        <f t="shared" ref="Z44:Z52" si="102">AE8-Z8</f>
        <v>201.81670494908712</v>
      </c>
      <c r="AA44" s="26"/>
      <c r="AB44" s="26">
        <f>AB8-R8</f>
        <v>232.68030726737356</v>
      </c>
      <c r="AC44" s="26">
        <f t="shared" ref="AC44:AC52" si="103">AC8-S8</f>
        <v>119.4706433636987</v>
      </c>
      <c r="AD44" s="26">
        <f t="shared" ref="AD44:AD52" si="104">AD8-T8</f>
        <v>75.187418015741741</v>
      </c>
      <c r="AE44" s="26">
        <f t="shared" ref="AE44:AE52" si="105">AE8-U8</f>
        <v>427.33836864681371</v>
      </c>
      <c r="AG44" t="str">
        <f>$A$8</f>
        <v>Managers, directors and senior officials</v>
      </c>
      <c r="AH44" s="26">
        <f>AM8-AH8</f>
        <v>113.65173227505818</v>
      </c>
      <c r="AI44" s="26">
        <f t="shared" ref="AI44:AI52" si="106">AN8-AI8</f>
        <v>89.633577872685379</v>
      </c>
      <c r="AJ44" s="26">
        <f t="shared" ref="AJ44:AJ52" si="107">AO8-AJ8</f>
        <v>46.201124536374465</v>
      </c>
      <c r="AK44" s="26">
        <f t="shared" ref="AK44:AK52" si="108">AP8-AK8</f>
        <v>249.48643468411819</v>
      </c>
      <c r="AL44" s="26"/>
      <c r="AM44" s="26">
        <f>AR8-AM8</f>
        <v>208.33393162490245</v>
      </c>
      <c r="AN44" s="26">
        <f t="shared" ref="AN44:AN52" si="109">AS8-AN8</f>
        <v>63.901910787571353</v>
      </c>
      <c r="AO44" s="26">
        <f t="shared" ref="AO44:AO52" si="110">AT8-AO8</f>
        <v>25.14609341552972</v>
      </c>
      <c r="AP44" s="26">
        <f t="shared" ref="AP44:AP52" si="111">AU8-AP8</f>
        <v>297.38193582800341</v>
      </c>
      <c r="AQ44" s="26"/>
      <c r="AR44" s="26">
        <f>AR8-AH8</f>
        <v>321.98566389996063</v>
      </c>
      <c r="AS44" s="26">
        <f t="shared" ref="AS44:AS52" si="112">AS8-AI8</f>
        <v>153.53548866025673</v>
      </c>
      <c r="AT44" s="26">
        <f t="shared" ref="AT44:AT52" si="113">AT8-AJ8</f>
        <v>71.347217951904184</v>
      </c>
      <c r="AU44" s="26">
        <f t="shared" ref="AU44:AU52" si="114">AU8-AK8</f>
        <v>546.8683705121216</v>
      </c>
    </row>
    <row r="45" spans="1:47" x14ac:dyDescent="0.3">
      <c r="A45" t="str">
        <f>$A$9</f>
        <v>Professional occupations</v>
      </c>
      <c r="B45" s="26">
        <f t="shared" ref="B45:B54" si="115">G9-B9</f>
        <v>831.37890817539574</v>
      </c>
      <c r="C45" s="26">
        <f t="shared" ref="C45:C54" si="116">H9-C9</f>
        <v>258.85983714822441</v>
      </c>
      <c r="D45" s="26">
        <f t="shared" ref="D45:D54" si="117">I9-D9</f>
        <v>39.425519409576282</v>
      </c>
      <c r="E45" s="26">
        <f t="shared" ref="E45:E54" si="118">J9-E9</f>
        <v>1129.6642647331964</v>
      </c>
      <c r="F45" s="26"/>
      <c r="G45" s="26">
        <f t="shared" ref="G45:G54" si="119">L9-G9</f>
        <v>1045.0677438266912</v>
      </c>
      <c r="H45" s="26">
        <f t="shared" ref="H45:H54" si="120">M9-H9</f>
        <v>324.62942021163803</v>
      </c>
      <c r="I45" s="26">
        <f t="shared" ref="I45:I54" si="121">N9-I9</f>
        <v>7.8658619320549406E-2</v>
      </c>
      <c r="J45" s="26">
        <f t="shared" ref="J45:J54" si="122">O9-J9</f>
        <v>1369.7758226576498</v>
      </c>
      <c r="K45" s="26"/>
      <c r="L45" s="26">
        <f t="shared" ref="L45:L54" si="123">L9-B9</f>
        <v>1876.4466520020869</v>
      </c>
      <c r="M45" s="26">
        <f t="shared" ref="M45:M54" si="124">M9-C9</f>
        <v>583.48925735986245</v>
      </c>
      <c r="N45" s="26">
        <f t="shared" ref="N45:N54" si="125">N9-D9</f>
        <v>39.504178028896831</v>
      </c>
      <c r="O45" s="26">
        <f t="shared" ref="O45:O54" si="126">O9-E9</f>
        <v>2499.4400873908462</v>
      </c>
      <c r="Q45" t="str">
        <f>$A$9</f>
        <v>Professional occupations</v>
      </c>
      <c r="R45" s="26">
        <f t="shared" ref="R45:R52" si="127">W9-R9</f>
        <v>427.45803505672484</v>
      </c>
      <c r="S45" s="26">
        <f t="shared" si="97"/>
        <v>105.66856085368596</v>
      </c>
      <c r="T45" s="26">
        <f t="shared" si="98"/>
        <v>-27.235711942044531</v>
      </c>
      <c r="U45" s="26">
        <f t="shared" si="99"/>
        <v>505.89088396836632</v>
      </c>
      <c r="V45" s="26"/>
      <c r="W45" s="26">
        <f t="shared" ref="W45:W52" si="128">AB9-W9</f>
        <v>499.31000947873599</v>
      </c>
      <c r="X45" s="26">
        <f t="shared" si="100"/>
        <v>115.0475315583609</v>
      </c>
      <c r="Y45" s="26">
        <f t="shared" si="101"/>
        <v>-24.902176980822389</v>
      </c>
      <c r="Z45" s="26">
        <f t="shared" si="102"/>
        <v>589.45536405627445</v>
      </c>
      <c r="AA45" s="26"/>
      <c r="AB45" s="26">
        <f t="shared" ref="AB45:AB52" si="129">AB9-R9</f>
        <v>926.76804453546083</v>
      </c>
      <c r="AC45" s="26">
        <f t="shared" si="103"/>
        <v>220.71609241204686</v>
      </c>
      <c r="AD45" s="26">
        <f t="shared" si="104"/>
        <v>-52.137888922866921</v>
      </c>
      <c r="AE45" s="26">
        <f t="shared" si="105"/>
        <v>1095.3462480246408</v>
      </c>
      <c r="AG45" t="str">
        <f>$A$9</f>
        <v>Professional occupations</v>
      </c>
      <c r="AH45" s="26">
        <f t="shared" ref="AH45:AH52" si="130">AM9-AH9</f>
        <v>403.92087311867112</v>
      </c>
      <c r="AI45" s="26">
        <f t="shared" si="106"/>
        <v>153.19127629453794</v>
      </c>
      <c r="AJ45" s="26">
        <f t="shared" si="107"/>
        <v>66.661231351620984</v>
      </c>
      <c r="AK45" s="26">
        <f t="shared" si="108"/>
        <v>623.77338076483011</v>
      </c>
      <c r="AL45" s="26"/>
      <c r="AM45" s="26">
        <f t="shared" ref="AM45:AM52" si="131">AR9-AM9</f>
        <v>545.75773434794928</v>
      </c>
      <c r="AN45" s="26">
        <f t="shared" si="109"/>
        <v>209.58188865327713</v>
      </c>
      <c r="AO45" s="26">
        <f t="shared" si="110"/>
        <v>24.980835600143223</v>
      </c>
      <c r="AP45" s="26">
        <f t="shared" si="111"/>
        <v>780.32045860136941</v>
      </c>
      <c r="AQ45" s="26"/>
      <c r="AR45" s="26">
        <f t="shared" ref="AR45:AR52" si="132">AR9-AH9</f>
        <v>949.67860746662041</v>
      </c>
      <c r="AS45" s="26">
        <f t="shared" si="112"/>
        <v>362.77316494781508</v>
      </c>
      <c r="AT45" s="26">
        <f t="shared" si="113"/>
        <v>91.642066951764207</v>
      </c>
      <c r="AU45" s="26">
        <f t="shared" si="114"/>
        <v>1404.0938393661995</v>
      </c>
    </row>
    <row r="46" spans="1:47" x14ac:dyDescent="0.3">
      <c r="A46" t="str">
        <f>$A$10</f>
        <v>Associate professional occupations</v>
      </c>
      <c r="B46" s="26">
        <f t="shared" si="115"/>
        <v>356.41317146713209</v>
      </c>
      <c r="C46" s="26">
        <f t="shared" si="116"/>
        <v>120.77373046017317</v>
      </c>
      <c r="D46" s="26">
        <f t="shared" si="117"/>
        <v>2.0598523373738544</v>
      </c>
      <c r="E46" s="26">
        <f t="shared" si="118"/>
        <v>479.24675426467866</v>
      </c>
      <c r="F46" s="26"/>
      <c r="G46" s="26">
        <f t="shared" si="119"/>
        <v>142.54903750174117</v>
      </c>
      <c r="H46" s="26">
        <f t="shared" si="120"/>
        <v>65.125050499597705</v>
      </c>
      <c r="I46" s="26">
        <f t="shared" si="121"/>
        <v>33.881473512591697</v>
      </c>
      <c r="J46" s="26">
        <f t="shared" si="122"/>
        <v>241.55556151393102</v>
      </c>
      <c r="K46" s="26"/>
      <c r="L46" s="26">
        <f t="shared" si="123"/>
        <v>498.96220896887326</v>
      </c>
      <c r="M46" s="26">
        <f t="shared" si="124"/>
        <v>185.89878095977087</v>
      </c>
      <c r="N46" s="26">
        <f t="shared" si="125"/>
        <v>35.941325849965551</v>
      </c>
      <c r="O46" s="26">
        <f t="shared" si="126"/>
        <v>720.80231577860968</v>
      </c>
      <c r="Q46" t="str">
        <f>$A$10</f>
        <v>Associate professional occupations</v>
      </c>
      <c r="R46" s="26">
        <f t="shared" si="127"/>
        <v>167.18393298291267</v>
      </c>
      <c r="S46" s="26">
        <f t="shared" si="97"/>
        <v>60.668375206017146</v>
      </c>
      <c r="T46" s="26">
        <f t="shared" si="98"/>
        <v>-23.028227132912548</v>
      </c>
      <c r="U46" s="26">
        <f t="shared" si="99"/>
        <v>204.82408105601712</v>
      </c>
      <c r="V46" s="26"/>
      <c r="W46" s="26">
        <f t="shared" si="128"/>
        <v>-33.372717839411962</v>
      </c>
      <c r="X46" s="26">
        <f t="shared" si="100"/>
        <v>-14.902995564860277</v>
      </c>
      <c r="Y46" s="26">
        <f t="shared" si="101"/>
        <v>4.5945631623076792</v>
      </c>
      <c r="Z46" s="26">
        <f t="shared" si="102"/>
        <v>-43.681150241964588</v>
      </c>
      <c r="AA46" s="26"/>
      <c r="AB46" s="26">
        <f t="shared" si="129"/>
        <v>133.8112151435007</v>
      </c>
      <c r="AC46" s="26">
        <f t="shared" si="103"/>
        <v>45.765379641156869</v>
      </c>
      <c r="AD46" s="26">
        <f t="shared" si="104"/>
        <v>-18.433663970604869</v>
      </c>
      <c r="AE46" s="26">
        <f t="shared" si="105"/>
        <v>161.14293081405253</v>
      </c>
      <c r="AG46" t="str">
        <f>$A$10</f>
        <v>Associate professional occupations</v>
      </c>
      <c r="AH46" s="26">
        <f t="shared" si="130"/>
        <v>189.22923848421999</v>
      </c>
      <c r="AI46" s="26">
        <f t="shared" si="106"/>
        <v>60.105355254155768</v>
      </c>
      <c r="AJ46" s="26">
        <f t="shared" si="107"/>
        <v>25.088079470286175</v>
      </c>
      <c r="AK46" s="26">
        <f t="shared" si="108"/>
        <v>274.42267320866199</v>
      </c>
      <c r="AL46" s="26"/>
      <c r="AM46" s="26">
        <f t="shared" si="131"/>
        <v>175.92175534115563</v>
      </c>
      <c r="AN46" s="26">
        <f t="shared" si="109"/>
        <v>80.028046064458294</v>
      </c>
      <c r="AO46" s="26">
        <f t="shared" si="110"/>
        <v>29.286910350284813</v>
      </c>
      <c r="AP46" s="26">
        <f t="shared" si="111"/>
        <v>285.23671175589857</v>
      </c>
      <c r="AQ46" s="26"/>
      <c r="AR46" s="26">
        <f t="shared" si="132"/>
        <v>365.15099382537562</v>
      </c>
      <c r="AS46" s="26">
        <f t="shared" si="112"/>
        <v>140.13340131861406</v>
      </c>
      <c r="AT46" s="26">
        <f t="shared" si="113"/>
        <v>54.374989820570988</v>
      </c>
      <c r="AU46" s="26">
        <f t="shared" si="114"/>
        <v>559.65938496456056</v>
      </c>
    </row>
    <row r="47" spans="1:47" x14ac:dyDescent="0.3">
      <c r="A47" t="str">
        <f>$A$11</f>
        <v>Administrative and secretarial occupations</v>
      </c>
      <c r="B47" s="26">
        <f t="shared" si="115"/>
        <v>5.1321888399438649</v>
      </c>
      <c r="C47" s="26">
        <f t="shared" si="116"/>
        <v>1.5049851052617669</v>
      </c>
      <c r="D47" s="26">
        <f t="shared" si="117"/>
        <v>-9.1005969171144443</v>
      </c>
      <c r="E47" s="26">
        <f t="shared" si="118"/>
        <v>-2.4634229719090399</v>
      </c>
      <c r="F47" s="26"/>
      <c r="G47" s="26">
        <f t="shared" si="119"/>
        <v>-251.34388522210588</v>
      </c>
      <c r="H47" s="26">
        <f t="shared" si="120"/>
        <v>-177.80257269612753</v>
      </c>
      <c r="I47" s="26">
        <f t="shared" si="121"/>
        <v>2.2381763267516703</v>
      </c>
      <c r="J47" s="26">
        <f t="shared" si="122"/>
        <v>-426.90828159148168</v>
      </c>
      <c r="K47" s="26"/>
      <c r="L47" s="26">
        <f t="shared" si="123"/>
        <v>-246.21169638216202</v>
      </c>
      <c r="M47" s="26">
        <f t="shared" si="124"/>
        <v>-176.29758759086576</v>
      </c>
      <c r="N47" s="26">
        <f t="shared" si="125"/>
        <v>-6.862420590362774</v>
      </c>
      <c r="O47" s="26">
        <f t="shared" si="126"/>
        <v>-429.37170456339072</v>
      </c>
      <c r="Q47" t="str">
        <f>$A$11</f>
        <v>Administrative and secretarial occupations</v>
      </c>
      <c r="R47" s="26">
        <f t="shared" si="127"/>
        <v>54.499978339457584</v>
      </c>
      <c r="S47" s="26">
        <f t="shared" si="97"/>
        <v>36.053486602956212</v>
      </c>
      <c r="T47" s="26">
        <f t="shared" si="98"/>
        <v>-7.8319986686249301</v>
      </c>
      <c r="U47" s="26">
        <f t="shared" si="99"/>
        <v>82.721466273788792</v>
      </c>
      <c r="V47" s="26"/>
      <c r="W47" s="26">
        <f t="shared" si="128"/>
        <v>39.804077136800174</v>
      </c>
      <c r="X47" s="26">
        <f t="shared" si="100"/>
        <v>-7.8211611255371736</v>
      </c>
      <c r="Y47" s="26">
        <f t="shared" si="101"/>
        <v>11.982685917615395</v>
      </c>
      <c r="Z47" s="26">
        <f t="shared" si="102"/>
        <v>43.965601928878414</v>
      </c>
      <c r="AA47" s="26"/>
      <c r="AB47" s="26">
        <f t="shared" si="129"/>
        <v>94.304055476257759</v>
      </c>
      <c r="AC47" s="26">
        <f t="shared" si="103"/>
        <v>28.232325477419039</v>
      </c>
      <c r="AD47" s="26">
        <f t="shared" si="104"/>
        <v>4.1506872489904652</v>
      </c>
      <c r="AE47" s="26">
        <f t="shared" si="105"/>
        <v>126.68706820266721</v>
      </c>
      <c r="AG47" t="str">
        <f>$A$11</f>
        <v>Administrative and secretarial occupations</v>
      </c>
      <c r="AH47" s="26">
        <f t="shared" si="130"/>
        <v>-49.367789499512355</v>
      </c>
      <c r="AI47" s="26">
        <f t="shared" si="106"/>
        <v>-34.548501497693451</v>
      </c>
      <c r="AJ47" s="26">
        <f t="shared" si="107"/>
        <v>-1.2685982484895959</v>
      </c>
      <c r="AK47" s="26">
        <f t="shared" si="108"/>
        <v>-85.184889245695103</v>
      </c>
      <c r="AL47" s="26"/>
      <c r="AM47" s="26">
        <f t="shared" si="131"/>
        <v>-291.14796235890776</v>
      </c>
      <c r="AN47" s="26">
        <f t="shared" si="109"/>
        <v>-169.98141157059194</v>
      </c>
      <c r="AO47" s="26">
        <f t="shared" si="110"/>
        <v>-9.7445095908636858</v>
      </c>
      <c r="AP47" s="26">
        <f t="shared" si="111"/>
        <v>-470.87388352036373</v>
      </c>
      <c r="AQ47" s="26"/>
      <c r="AR47" s="26">
        <f t="shared" si="132"/>
        <v>-340.51575185842012</v>
      </c>
      <c r="AS47" s="26">
        <f t="shared" si="112"/>
        <v>-204.5299130682854</v>
      </c>
      <c r="AT47" s="26">
        <f t="shared" si="113"/>
        <v>-11.013107839353282</v>
      </c>
      <c r="AU47" s="26">
        <f t="shared" si="114"/>
        <v>-556.05877276605884</v>
      </c>
    </row>
    <row r="48" spans="1:47" x14ac:dyDescent="0.3">
      <c r="A48" t="str">
        <f>$A$12</f>
        <v>Skilled trades occupations</v>
      </c>
      <c r="B48" s="26">
        <f t="shared" si="115"/>
        <v>-247.62605052043182</v>
      </c>
      <c r="C48" s="26">
        <f t="shared" si="116"/>
        <v>-33.484973802815318</v>
      </c>
      <c r="D48" s="26">
        <f t="shared" si="117"/>
        <v>-98.301684385132376</v>
      </c>
      <c r="E48" s="26">
        <f t="shared" si="118"/>
        <v>-379.41270870837934</v>
      </c>
      <c r="F48" s="26"/>
      <c r="G48" s="26">
        <f t="shared" si="119"/>
        <v>-155.6276366978318</v>
      </c>
      <c r="H48" s="26">
        <f t="shared" si="120"/>
        <v>41.998474393856497</v>
      </c>
      <c r="I48" s="26">
        <f t="shared" si="121"/>
        <v>97.489141258605741</v>
      </c>
      <c r="J48" s="26">
        <f t="shared" si="122"/>
        <v>-16.140021045369849</v>
      </c>
      <c r="K48" s="26"/>
      <c r="L48" s="26">
        <f t="shared" si="123"/>
        <v>-403.25368721826362</v>
      </c>
      <c r="M48" s="26">
        <f t="shared" si="124"/>
        <v>8.5135005910411792</v>
      </c>
      <c r="N48" s="26">
        <f t="shared" si="125"/>
        <v>-0.8125431265266343</v>
      </c>
      <c r="O48" s="26">
        <f t="shared" si="126"/>
        <v>-395.55272975374919</v>
      </c>
      <c r="Q48" t="str">
        <f>$A$12</f>
        <v>Skilled trades occupations</v>
      </c>
      <c r="R48" s="26">
        <f t="shared" si="127"/>
        <v>-250.71427338903618</v>
      </c>
      <c r="S48" s="26">
        <f t="shared" si="97"/>
        <v>-28.880820182939715</v>
      </c>
      <c r="T48" s="26">
        <f t="shared" si="98"/>
        <v>-112.89173922343787</v>
      </c>
      <c r="U48" s="26">
        <f t="shared" si="99"/>
        <v>-392.48683279541365</v>
      </c>
      <c r="V48" s="26"/>
      <c r="W48" s="26">
        <f t="shared" si="128"/>
        <v>-187.57850941799779</v>
      </c>
      <c r="X48" s="26">
        <f t="shared" si="100"/>
        <v>26.632799201525671</v>
      </c>
      <c r="Y48" s="26">
        <f t="shared" si="101"/>
        <v>67.417610945742467</v>
      </c>
      <c r="Z48" s="26">
        <f t="shared" si="102"/>
        <v>-93.528099270729399</v>
      </c>
      <c r="AA48" s="26"/>
      <c r="AB48" s="26">
        <f t="shared" si="129"/>
        <v>-438.29278280703397</v>
      </c>
      <c r="AC48" s="26">
        <f t="shared" si="103"/>
        <v>-2.2480209814140437</v>
      </c>
      <c r="AD48" s="26">
        <f t="shared" si="104"/>
        <v>-45.474128277695399</v>
      </c>
      <c r="AE48" s="26">
        <f t="shared" si="105"/>
        <v>-486.01493206614305</v>
      </c>
      <c r="AG48" t="str">
        <f>$A$12</f>
        <v>Skilled trades occupations</v>
      </c>
      <c r="AH48" s="26">
        <f t="shared" si="130"/>
        <v>3.0882228686061808</v>
      </c>
      <c r="AI48" s="26">
        <f t="shared" si="106"/>
        <v>-4.6041536198759303</v>
      </c>
      <c r="AJ48" s="26">
        <f t="shared" si="107"/>
        <v>14.590054838305008</v>
      </c>
      <c r="AK48" s="26">
        <f t="shared" si="108"/>
        <v>13.074124087035216</v>
      </c>
      <c r="AL48" s="26"/>
      <c r="AM48" s="26">
        <f t="shared" si="131"/>
        <v>31.95087272016309</v>
      </c>
      <c r="AN48" s="26">
        <f t="shared" si="109"/>
        <v>15.365675192330755</v>
      </c>
      <c r="AO48" s="26">
        <f t="shared" si="110"/>
        <v>30.071530312864013</v>
      </c>
      <c r="AP48" s="26">
        <f t="shared" si="111"/>
        <v>77.388078225357901</v>
      </c>
      <c r="AQ48" s="26"/>
      <c r="AR48" s="26">
        <f t="shared" si="132"/>
        <v>35.039095588769271</v>
      </c>
      <c r="AS48" s="26">
        <f t="shared" si="112"/>
        <v>10.761521572454825</v>
      </c>
      <c r="AT48" s="26">
        <f t="shared" si="113"/>
        <v>44.661585151169021</v>
      </c>
      <c r="AU48" s="26">
        <f t="shared" si="114"/>
        <v>90.462202312393117</v>
      </c>
    </row>
    <row r="49" spans="1:47" x14ac:dyDescent="0.3">
      <c r="A49" t="str">
        <f>$A$13</f>
        <v>Caring, leisure and other service occupations</v>
      </c>
      <c r="B49" s="26">
        <f t="shared" si="115"/>
        <v>-24.829691674130117</v>
      </c>
      <c r="C49" s="26">
        <f t="shared" si="116"/>
        <v>-14.017603255186259</v>
      </c>
      <c r="D49" s="26">
        <f t="shared" si="117"/>
        <v>35.564230016440263</v>
      </c>
      <c r="E49" s="26">
        <f t="shared" si="118"/>
        <v>-3.283064912876398</v>
      </c>
      <c r="F49" s="26"/>
      <c r="G49" s="26">
        <f t="shared" si="119"/>
        <v>261.36884134736579</v>
      </c>
      <c r="H49" s="26">
        <f t="shared" si="120"/>
        <v>100.63250392541613</v>
      </c>
      <c r="I49" s="26">
        <f t="shared" si="121"/>
        <v>58.925927002451488</v>
      </c>
      <c r="J49" s="26">
        <f t="shared" si="122"/>
        <v>420.92727227523346</v>
      </c>
      <c r="K49" s="26"/>
      <c r="L49" s="26">
        <f t="shared" si="123"/>
        <v>236.53914967323567</v>
      </c>
      <c r="M49" s="26">
        <f t="shared" si="124"/>
        <v>86.614900670229872</v>
      </c>
      <c r="N49" s="26">
        <f t="shared" si="125"/>
        <v>94.49015701889175</v>
      </c>
      <c r="O49" s="26">
        <f t="shared" si="126"/>
        <v>417.64420736235706</v>
      </c>
      <c r="Q49" t="str">
        <f>$A$13</f>
        <v>Caring, leisure and other service occupations</v>
      </c>
      <c r="R49" s="26">
        <f t="shared" si="127"/>
        <v>-2.3715586434958027</v>
      </c>
      <c r="S49" s="26">
        <f t="shared" si="97"/>
        <v>18.338857296152042</v>
      </c>
      <c r="T49" s="26">
        <f t="shared" si="98"/>
        <v>0.62177202644490137</v>
      </c>
      <c r="U49" s="26">
        <f t="shared" si="99"/>
        <v>16.589070679101155</v>
      </c>
      <c r="V49" s="26"/>
      <c r="W49" s="26">
        <f t="shared" si="128"/>
        <v>95.432907784888471</v>
      </c>
      <c r="X49" s="26">
        <f t="shared" si="100"/>
        <v>39.393489044543884</v>
      </c>
      <c r="Y49" s="26">
        <f t="shared" si="101"/>
        <v>22.876858655974296</v>
      </c>
      <c r="Z49" s="26">
        <f t="shared" si="102"/>
        <v>157.70325548540666</v>
      </c>
      <c r="AA49" s="26"/>
      <c r="AB49" s="26">
        <f t="shared" si="129"/>
        <v>93.061349141392668</v>
      </c>
      <c r="AC49" s="26">
        <f t="shared" si="103"/>
        <v>57.732346340695926</v>
      </c>
      <c r="AD49" s="26">
        <f t="shared" si="104"/>
        <v>23.498630682419197</v>
      </c>
      <c r="AE49" s="26">
        <f t="shared" si="105"/>
        <v>174.29232616450781</v>
      </c>
      <c r="AG49" t="str">
        <f>$A$13</f>
        <v>Caring, leisure and other service occupations</v>
      </c>
      <c r="AH49" s="26">
        <f t="shared" si="130"/>
        <v>-22.458133030633462</v>
      </c>
      <c r="AI49" s="26">
        <f t="shared" si="106"/>
        <v>-32.356460551338387</v>
      </c>
      <c r="AJ49" s="26">
        <f t="shared" si="107"/>
        <v>34.942457989995319</v>
      </c>
      <c r="AK49" s="26">
        <f t="shared" si="108"/>
        <v>-19.87213559197653</v>
      </c>
      <c r="AL49" s="26"/>
      <c r="AM49" s="26">
        <f t="shared" si="131"/>
        <v>165.93593356247732</v>
      </c>
      <c r="AN49" s="26">
        <f t="shared" si="109"/>
        <v>61.239014880872332</v>
      </c>
      <c r="AO49" s="26">
        <f t="shared" si="110"/>
        <v>36.049068346477384</v>
      </c>
      <c r="AP49" s="26">
        <f t="shared" si="111"/>
        <v>263.22401678982715</v>
      </c>
      <c r="AQ49" s="26"/>
      <c r="AR49" s="26">
        <f t="shared" si="132"/>
        <v>143.47780053184385</v>
      </c>
      <c r="AS49" s="26">
        <f t="shared" si="112"/>
        <v>28.882554329533946</v>
      </c>
      <c r="AT49" s="26">
        <f t="shared" si="113"/>
        <v>70.991526336472702</v>
      </c>
      <c r="AU49" s="26">
        <f t="shared" si="114"/>
        <v>243.35188119785062</v>
      </c>
    </row>
    <row r="50" spans="1:47" x14ac:dyDescent="0.3">
      <c r="A50" t="str">
        <f>$A$14</f>
        <v>Sales and customer service occupations</v>
      </c>
      <c r="B50" s="26">
        <f t="shared" si="115"/>
        <v>-43.671721520431561</v>
      </c>
      <c r="C50" s="26">
        <f t="shared" si="116"/>
        <v>2.5962541790509022</v>
      </c>
      <c r="D50" s="26">
        <f t="shared" si="117"/>
        <v>-48.305909294800074</v>
      </c>
      <c r="E50" s="26">
        <f t="shared" si="118"/>
        <v>-89.381376636180903</v>
      </c>
      <c r="F50" s="26"/>
      <c r="G50" s="26">
        <f t="shared" si="119"/>
        <v>18.94121104766225</v>
      </c>
      <c r="H50" s="26">
        <f t="shared" si="120"/>
        <v>22.46622720199025</v>
      </c>
      <c r="I50" s="26">
        <f t="shared" si="121"/>
        <v>-14.945433086038037</v>
      </c>
      <c r="J50" s="26">
        <f t="shared" si="122"/>
        <v>26.462005163614776</v>
      </c>
      <c r="K50" s="26"/>
      <c r="L50" s="26">
        <f t="shared" si="123"/>
        <v>-24.730510472769311</v>
      </c>
      <c r="M50" s="26">
        <f t="shared" si="124"/>
        <v>25.062481381041152</v>
      </c>
      <c r="N50" s="26">
        <f t="shared" si="125"/>
        <v>-63.251342380838111</v>
      </c>
      <c r="O50" s="26">
        <f t="shared" si="126"/>
        <v>-62.919371472566127</v>
      </c>
      <c r="Q50" t="str">
        <f>$A$14</f>
        <v>Sales and customer service occupations</v>
      </c>
      <c r="R50" s="26">
        <f t="shared" si="127"/>
        <v>-8.6511831206585157</v>
      </c>
      <c r="S50" s="26">
        <f t="shared" si="97"/>
        <v>30.759542994445781</v>
      </c>
      <c r="T50" s="26">
        <f t="shared" si="98"/>
        <v>-27.619303669273094</v>
      </c>
      <c r="U50" s="26">
        <f t="shared" si="99"/>
        <v>-5.510943795485673</v>
      </c>
      <c r="V50" s="26"/>
      <c r="W50" s="26">
        <f t="shared" si="128"/>
        <v>43.68934494443829</v>
      </c>
      <c r="X50" s="26">
        <f t="shared" si="100"/>
        <v>31.926658983223433</v>
      </c>
      <c r="Y50" s="26">
        <f t="shared" si="101"/>
        <v>-7.6347378405938571</v>
      </c>
      <c r="Z50" s="26">
        <f t="shared" si="102"/>
        <v>67.981266087067752</v>
      </c>
      <c r="AA50" s="26"/>
      <c r="AB50" s="26">
        <f t="shared" si="129"/>
        <v>35.038161823779774</v>
      </c>
      <c r="AC50" s="26">
        <f t="shared" si="103"/>
        <v>62.686201977669214</v>
      </c>
      <c r="AD50" s="26">
        <f t="shared" si="104"/>
        <v>-35.254041509866951</v>
      </c>
      <c r="AE50" s="26">
        <f t="shared" si="105"/>
        <v>62.470322291582079</v>
      </c>
      <c r="AG50" t="str">
        <f>$A$14</f>
        <v>Sales and customer service occupations</v>
      </c>
      <c r="AH50" s="26">
        <f t="shared" si="130"/>
        <v>-35.020538399773386</v>
      </c>
      <c r="AI50" s="26">
        <f t="shared" si="106"/>
        <v>-28.163288815396868</v>
      </c>
      <c r="AJ50" s="26">
        <f t="shared" si="107"/>
        <v>-20.686605625526973</v>
      </c>
      <c r="AK50" s="26">
        <f t="shared" si="108"/>
        <v>-83.870432840697276</v>
      </c>
      <c r="AL50" s="26"/>
      <c r="AM50" s="26">
        <f t="shared" si="131"/>
        <v>-24.748133896776039</v>
      </c>
      <c r="AN50" s="26">
        <f t="shared" si="109"/>
        <v>-9.460431781232387</v>
      </c>
      <c r="AO50" s="26">
        <f t="shared" si="110"/>
        <v>-7.3106952454441583</v>
      </c>
      <c r="AP50" s="26">
        <f t="shared" si="111"/>
        <v>-41.519260923452521</v>
      </c>
      <c r="AQ50" s="26"/>
      <c r="AR50" s="26">
        <f t="shared" si="132"/>
        <v>-59.768672296549425</v>
      </c>
      <c r="AS50" s="26">
        <f t="shared" si="112"/>
        <v>-37.623720596629255</v>
      </c>
      <c r="AT50" s="26">
        <f t="shared" si="113"/>
        <v>-27.997300870971131</v>
      </c>
      <c r="AU50" s="26">
        <f t="shared" si="114"/>
        <v>-125.3896937641498</v>
      </c>
    </row>
    <row r="51" spans="1:47" x14ac:dyDescent="0.3">
      <c r="A51" t="str">
        <f>$A$15</f>
        <v>Process, plant and machine operatives</v>
      </c>
      <c r="B51" s="26">
        <f t="shared" si="115"/>
        <v>-166.07329924140026</v>
      </c>
      <c r="C51" s="26">
        <f t="shared" si="116"/>
        <v>42.301718868053626</v>
      </c>
      <c r="D51" s="26">
        <f t="shared" si="117"/>
        <v>18.583420303726768</v>
      </c>
      <c r="E51" s="26">
        <f t="shared" si="118"/>
        <v>-105.18816006961993</v>
      </c>
      <c r="F51" s="26"/>
      <c r="G51" s="26">
        <f t="shared" si="119"/>
        <v>24.742640396609886</v>
      </c>
      <c r="H51" s="26">
        <f t="shared" si="120"/>
        <v>93.035887399920512</v>
      </c>
      <c r="I51" s="26">
        <f t="shared" si="121"/>
        <v>72.171198361390907</v>
      </c>
      <c r="J51" s="26">
        <f t="shared" si="122"/>
        <v>189.9497261579213</v>
      </c>
      <c r="K51" s="26"/>
      <c r="L51" s="26">
        <f t="shared" si="123"/>
        <v>-141.33065884479038</v>
      </c>
      <c r="M51" s="26">
        <f t="shared" si="124"/>
        <v>135.33760626797414</v>
      </c>
      <c r="N51" s="26">
        <f t="shared" si="125"/>
        <v>90.754618665117675</v>
      </c>
      <c r="O51" s="26">
        <f t="shared" si="126"/>
        <v>84.761566088301379</v>
      </c>
      <c r="Q51" t="str">
        <f>$A$15</f>
        <v>Process, plant and machine operatives</v>
      </c>
      <c r="R51" s="26">
        <f t="shared" si="127"/>
        <v>-143.68328393687796</v>
      </c>
      <c r="S51" s="26">
        <f t="shared" si="97"/>
        <v>48.067384904423278</v>
      </c>
      <c r="T51" s="26">
        <f t="shared" si="98"/>
        <v>9.4362876614169693</v>
      </c>
      <c r="U51" s="26">
        <f t="shared" si="99"/>
        <v>-86.179611371037709</v>
      </c>
      <c r="V51" s="26"/>
      <c r="W51" s="26">
        <f t="shared" si="128"/>
        <v>1.8001031222231632</v>
      </c>
      <c r="X51" s="26">
        <f t="shared" si="100"/>
        <v>43.827148807689383</v>
      </c>
      <c r="Y51" s="26">
        <f t="shared" si="101"/>
        <v>63.202489420045197</v>
      </c>
      <c r="Z51" s="26">
        <f t="shared" si="102"/>
        <v>108.82974134995766</v>
      </c>
      <c r="AA51" s="26"/>
      <c r="AB51" s="26">
        <f t="shared" si="129"/>
        <v>-141.88318081465479</v>
      </c>
      <c r="AC51" s="26">
        <f t="shared" si="103"/>
        <v>91.894533712112661</v>
      </c>
      <c r="AD51" s="26">
        <f t="shared" si="104"/>
        <v>72.638777081462166</v>
      </c>
      <c r="AE51" s="26">
        <f t="shared" si="105"/>
        <v>22.650129978919949</v>
      </c>
      <c r="AG51" t="str">
        <f>$A$15</f>
        <v>Process, plant and machine operatives</v>
      </c>
      <c r="AH51" s="26">
        <f t="shared" si="130"/>
        <v>-22.39001530452191</v>
      </c>
      <c r="AI51" s="26">
        <f t="shared" si="106"/>
        <v>-5.7656660363696943</v>
      </c>
      <c r="AJ51" s="26">
        <f t="shared" si="107"/>
        <v>9.1471326423103179</v>
      </c>
      <c r="AK51" s="26">
        <f t="shared" si="108"/>
        <v>-19.008548698581251</v>
      </c>
      <c r="AL51" s="26"/>
      <c r="AM51" s="26">
        <f t="shared" si="131"/>
        <v>22.942537274387519</v>
      </c>
      <c r="AN51" s="26">
        <f t="shared" si="109"/>
        <v>49.208738592231242</v>
      </c>
      <c r="AO51" s="26">
        <f t="shared" si="110"/>
        <v>8.968708941345767</v>
      </c>
      <c r="AP51" s="26">
        <f t="shared" si="111"/>
        <v>81.119984807964499</v>
      </c>
      <c r="AQ51" s="26"/>
      <c r="AR51" s="26">
        <f t="shared" si="132"/>
        <v>0.55252196986560875</v>
      </c>
      <c r="AS51" s="26">
        <f t="shared" si="112"/>
        <v>43.443072555861548</v>
      </c>
      <c r="AT51" s="26">
        <f t="shared" si="113"/>
        <v>18.115841583656085</v>
      </c>
      <c r="AU51" s="26">
        <f t="shared" si="114"/>
        <v>62.111436109383249</v>
      </c>
    </row>
    <row r="52" spans="1:47" x14ac:dyDescent="0.3">
      <c r="A52" t="str">
        <f>$A$16</f>
        <v>Elementary occupations</v>
      </c>
      <c r="B52" s="26">
        <f t="shared" si="115"/>
        <v>-184.1932402555085</v>
      </c>
      <c r="C52" s="26">
        <f t="shared" si="116"/>
        <v>-85.194772900628323</v>
      </c>
      <c r="D52" s="26">
        <f t="shared" si="117"/>
        <v>-31.293370927354772</v>
      </c>
      <c r="E52" s="26">
        <f t="shared" si="118"/>
        <v>-300.68138408349159</v>
      </c>
      <c r="F52" s="26"/>
      <c r="G52" s="26">
        <f t="shared" si="119"/>
        <v>-20.83418859063454</v>
      </c>
      <c r="H52" s="26">
        <f t="shared" si="120"/>
        <v>-140.77629881764619</v>
      </c>
      <c r="I52" s="26">
        <f t="shared" si="121"/>
        <v>67.199761503578827</v>
      </c>
      <c r="J52" s="26">
        <f t="shared" si="122"/>
        <v>-94.410725904701849</v>
      </c>
      <c r="K52" s="26"/>
      <c r="L52" s="26">
        <f t="shared" si="123"/>
        <v>-205.02742884614304</v>
      </c>
      <c r="M52" s="26">
        <f t="shared" si="124"/>
        <v>-225.97107171827452</v>
      </c>
      <c r="N52" s="26">
        <f t="shared" si="125"/>
        <v>35.906390576224055</v>
      </c>
      <c r="O52" s="26">
        <f t="shared" si="126"/>
        <v>-395.09210998819344</v>
      </c>
      <c r="Q52" t="str">
        <f>$A$16</f>
        <v>Elementary occupations</v>
      </c>
      <c r="R52" s="26">
        <f t="shared" si="127"/>
        <v>-145.63964975646388</v>
      </c>
      <c r="S52" s="26">
        <f t="shared" si="97"/>
        <v>-12.730633983181065</v>
      </c>
      <c r="T52" s="26">
        <f t="shared" si="98"/>
        <v>-10.777493974389714</v>
      </c>
      <c r="U52" s="26">
        <f t="shared" si="99"/>
        <v>-169.14777771403465</v>
      </c>
      <c r="V52" s="26"/>
      <c r="W52" s="26">
        <f t="shared" si="128"/>
        <v>-58.572519996249525</v>
      </c>
      <c r="X52" s="26">
        <f t="shared" si="100"/>
        <v>-12.115867970466297</v>
      </c>
      <c r="Y52" s="26">
        <f t="shared" si="101"/>
        <v>42.13670362275127</v>
      </c>
      <c r="Z52" s="26">
        <f t="shared" si="102"/>
        <v>-28.551684343964553</v>
      </c>
      <c r="AA52" s="26"/>
      <c r="AB52" s="26">
        <f t="shared" si="129"/>
        <v>-204.21216975271341</v>
      </c>
      <c r="AC52" s="26">
        <f t="shared" si="103"/>
        <v>-24.846501953647362</v>
      </c>
      <c r="AD52" s="26">
        <f t="shared" si="104"/>
        <v>31.359209648361556</v>
      </c>
      <c r="AE52" s="26">
        <f t="shared" si="105"/>
        <v>-197.6994620579992</v>
      </c>
      <c r="AG52" t="str">
        <f>$A$16</f>
        <v>Elementary occupations</v>
      </c>
      <c r="AH52" s="26">
        <f t="shared" si="130"/>
        <v>-38.55359049904439</v>
      </c>
      <c r="AI52" s="26">
        <f t="shared" si="106"/>
        <v>-72.464138917449077</v>
      </c>
      <c r="AJ52" s="26">
        <f t="shared" si="107"/>
        <v>-20.515876952964746</v>
      </c>
      <c r="AK52" s="26">
        <f t="shared" si="108"/>
        <v>-131.53360636945831</v>
      </c>
      <c r="AL52" s="26"/>
      <c r="AM52" s="26">
        <f t="shared" si="131"/>
        <v>37.738331405616066</v>
      </c>
      <c r="AN52" s="26">
        <f t="shared" si="109"/>
        <v>-128.66043084717762</v>
      </c>
      <c r="AO52" s="26">
        <f t="shared" si="110"/>
        <v>25.063057880827571</v>
      </c>
      <c r="AP52" s="26">
        <f t="shared" si="111"/>
        <v>-65.859041560733885</v>
      </c>
      <c r="AQ52" s="26"/>
      <c r="AR52" s="26">
        <f t="shared" si="132"/>
        <v>-0.81525909342832392</v>
      </c>
      <c r="AS52" s="26">
        <f t="shared" si="112"/>
        <v>-201.1245697646267</v>
      </c>
      <c r="AT52" s="26">
        <f t="shared" si="113"/>
        <v>4.5471809278628257</v>
      </c>
      <c r="AU52" s="26">
        <f t="shared" si="114"/>
        <v>-197.3926479301922</v>
      </c>
    </row>
    <row r="53" spans="1:47" x14ac:dyDescent="0.3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3">
      <c r="A54" s="23" t="str">
        <f>$A$18</f>
        <v>All occupations</v>
      </c>
      <c r="B54" s="28">
        <f t="shared" si="115"/>
        <v>794.22700002492275</v>
      </c>
      <c r="C54" s="28">
        <f t="shared" si="116"/>
        <v>444.50999997340114</v>
      </c>
      <c r="D54" s="28">
        <f t="shared" si="117"/>
        <v>-35.228000001063265</v>
      </c>
      <c r="E54" s="28">
        <f t="shared" si="118"/>
        <v>1203.5089999972588</v>
      </c>
      <c r="F54" s="28"/>
      <c r="G54" s="28">
        <f t="shared" si="119"/>
        <v>1351.8330000224705</v>
      </c>
      <c r="H54" s="28">
        <f t="shared" si="120"/>
        <v>451.14399997133296</v>
      </c>
      <c r="I54" s="28">
        <f t="shared" si="121"/>
        <v>407.43300001007719</v>
      </c>
      <c r="J54" s="28">
        <f t="shared" si="122"/>
        <v>2210.4100000038816</v>
      </c>
      <c r="K54" s="28"/>
      <c r="L54" s="28">
        <f t="shared" si="123"/>
        <v>2146.0600000473933</v>
      </c>
      <c r="M54" s="28">
        <f t="shared" si="124"/>
        <v>895.6539999447341</v>
      </c>
      <c r="N54" s="28">
        <f t="shared" si="125"/>
        <v>372.20500000901393</v>
      </c>
      <c r="O54" s="28">
        <f t="shared" si="126"/>
        <v>3413.9190000011404</v>
      </c>
      <c r="Q54" s="23" t="str">
        <f>$A$18</f>
        <v>All occupations</v>
      </c>
      <c r="R54" s="28">
        <f t="shared" ref="R54" si="133">W18-R18</f>
        <v>252.12700001186022</v>
      </c>
      <c r="S54" s="28">
        <f t="shared" ref="S54" si="134">X18-S18</f>
        <v>319.48199999014196</v>
      </c>
      <c r="T54" s="28">
        <f t="shared" ref="T54" si="135">Y18-T18</f>
        <v>-189.38700000297285</v>
      </c>
      <c r="U54" s="28">
        <f t="shared" ref="U54" si="136">Z18-U18</f>
        <v>382.22199999903023</v>
      </c>
      <c r="V54" s="28"/>
      <c r="W54" s="28">
        <f t="shared" ref="W54" si="137">AB18-W18</f>
        <v>479.14800000150353</v>
      </c>
      <c r="X54" s="28">
        <f t="shared" ref="X54" si="138">AC18-X18</f>
        <v>279.92099999959601</v>
      </c>
      <c r="Y54" s="28">
        <f t="shared" ref="Y54" si="139">AD18-Y18</f>
        <v>244.92199999891409</v>
      </c>
      <c r="Z54" s="28">
        <f t="shared" ref="Z54" si="140">AE18-Z18</f>
        <v>1003.9910000000164</v>
      </c>
      <c r="AA54" s="28"/>
      <c r="AB54" s="28">
        <f t="shared" ref="AB54" si="141">AB18-R18</f>
        <v>731.27500001336375</v>
      </c>
      <c r="AC54" s="28">
        <f t="shared" ref="AC54" si="142">AC18-S18</f>
        <v>599.40299998973796</v>
      </c>
      <c r="AD54" s="28">
        <f t="shared" ref="AD54" si="143">AD18-T18</f>
        <v>55.534999995941234</v>
      </c>
      <c r="AE54" s="28">
        <f t="shared" ref="AE54" si="144">AE18-U18</f>
        <v>1386.2129999990466</v>
      </c>
      <c r="AG54" s="23" t="str">
        <f>$A$18</f>
        <v>All occupations</v>
      </c>
      <c r="AH54" s="28">
        <f t="shared" ref="AH54" si="145">AM18-AH18</f>
        <v>542.1000000130698</v>
      </c>
      <c r="AI54" s="28">
        <f t="shared" ref="AI54" si="146">AN18-AI18</f>
        <v>125.02799998325554</v>
      </c>
      <c r="AJ54" s="28">
        <f t="shared" ref="AJ54" si="147">AO18-AJ18</f>
        <v>154.15900000191095</v>
      </c>
      <c r="AK54" s="28">
        <f t="shared" ref="AK54" si="148">AP18-AK18</f>
        <v>821.28699999823766</v>
      </c>
      <c r="AL54" s="28"/>
      <c r="AM54" s="28">
        <f t="shared" ref="AM54" si="149">AR18-AM18</f>
        <v>872.68500002096789</v>
      </c>
      <c r="AN54" s="28">
        <f t="shared" ref="AN54" si="150">AS18-AN18</f>
        <v>171.22299997173741</v>
      </c>
      <c r="AO54" s="28">
        <f t="shared" ref="AO54" si="151">AT18-AO18</f>
        <v>162.5110000111647</v>
      </c>
      <c r="AP54" s="28">
        <f t="shared" ref="AP54" si="152">AU18-AP18</f>
        <v>1206.4190000038689</v>
      </c>
      <c r="AQ54" s="28"/>
      <c r="AR54" s="28">
        <f t="shared" ref="AR54" si="153">AR18-AH18</f>
        <v>1414.7850000340377</v>
      </c>
      <c r="AS54" s="28">
        <f t="shared" ref="AS54" si="154">AS18-AI18</f>
        <v>296.25099995499295</v>
      </c>
      <c r="AT54" s="28">
        <f t="shared" ref="AT54" si="155">AT18-AJ18</f>
        <v>316.67000001307565</v>
      </c>
      <c r="AU54" s="28">
        <f t="shared" ref="AU54" si="156">AU18-AK18</f>
        <v>2027.7060000021065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5234375" defaultRowHeight="12.45" x14ac:dyDescent="0.3"/>
  <cols>
    <col min="1" max="1" width="11" style="156" bestFit="1" customWidth="1"/>
    <col min="2" max="9" width="9.15234375" style="156"/>
    <col min="10" max="10" width="17.53515625" style="156" customWidth="1"/>
    <col min="11" max="11" width="8.3046875" style="156" customWidth="1"/>
    <col min="12" max="12" width="52.69140625" style="90" customWidth="1"/>
    <col min="13" max="13" width="12.3828125" style="90" customWidth="1"/>
    <col min="14" max="14" width="10.15234375" style="90" customWidth="1"/>
    <col min="15" max="16384" width="9.15234375" style="90"/>
  </cols>
  <sheetData>
    <row r="1" spans="1:14" ht="15.45" x14ac:dyDescent="0.4">
      <c r="A1" s="155" t="str">
        <f>CONCATENATE("Occupation Figure 1  Growth in Employment by Occupation (SOC 2020), ",M6," and ",N6,", ",Info!B5)</f>
        <v>Occupation Figure 1  Growth in Employment by Occupation (SOC 2020), 2015-2020 and 2020-2035, England</v>
      </c>
    </row>
    <row r="2" spans="1:14" x14ac:dyDescent="0.3">
      <c r="A2" s="181" t="s">
        <v>536</v>
      </c>
    </row>
    <row r="3" spans="1:14" x14ac:dyDescent="0.3">
      <c r="L3" s="157" t="s">
        <v>439</v>
      </c>
    </row>
    <row r="5" spans="1:14" ht="12.9" x14ac:dyDescent="0.35">
      <c r="L5" s="121" t="s">
        <v>422</v>
      </c>
    </row>
    <row r="6" spans="1:14" x14ac:dyDescent="0.3">
      <c r="M6" s="177" t="str">
        <f>'Occ T2'!H151</f>
        <v>2015-2020</v>
      </c>
      <c r="N6" s="177" t="str">
        <f>'Occ T2'!I151</f>
        <v>2020-2035</v>
      </c>
    </row>
    <row r="7" spans="1:14" x14ac:dyDescent="0.3">
      <c r="L7" s="113" t="str">
        <f>'Occ T3'!A51</f>
        <v>All occupations</v>
      </c>
      <c r="M7" s="90">
        <f>'Occ T2'!H180</f>
        <v>0.82619957207423766</v>
      </c>
      <c r="N7" s="90">
        <f>'Occ T2'!I180</f>
        <v>0.477233431154378</v>
      </c>
    </row>
    <row r="8" spans="1:14" x14ac:dyDescent="0.3">
      <c r="L8" s="113"/>
    </row>
    <row r="9" spans="1:14" x14ac:dyDescent="0.3">
      <c r="L9" s="90" t="str">
        <f>'Occ T3'!A49</f>
        <v>92 Elementary administration and service occupations</v>
      </c>
      <c r="M9" s="90">
        <f>'Occ T2'!H178</f>
        <v>-1.5031422031040464</v>
      </c>
      <c r="N9" s="90">
        <f>'Occ T2'!I178</f>
        <v>-4.6667681845247166E-2</v>
      </c>
    </row>
    <row r="10" spans="1:14" x14ac:dyDescent="0.3">
      <c r="L10" s="90" t="str">
        <f>'Occ T3'!A48</f>
        <v>91 Elementary trades and related occupations</v>
      </c>
      <c r="M10" s="90">
        <f>'Occ T2'!H177</f>
        <v>-4.3333644293368057</v>
      </c>
      <c r="N10" s="90">
        <f>'Occ T2'!I177</f>
        <v>-1.4735689558833975</v>
      </c>
    </row>
    <row r="11" spans="1:14" x14ac:dyDescent="0.3">
      <c r="L11" s="113" t="str">
        <f>"["&amp;'Occ T3'!A47&amp;"]"</f>
        <v>[Elementary occupations]</v>
      </c>
      <c r="M11" s="90">
        <f>'Occ T1'!H88</f>
        <v>-1.8913017096546914</v>
      </c>
      <c r="N11" s="90">
        <f>'Occ T1'!I88</f>
        <v>-0.21283793663661177</v>
      </c>
    </row>
    <row r="12" spans="1:14" x14ac:dyDescent="0.3">
      <c r="L12" s="113"/>
    </row>
    <row r="13" spans="1:14" x14ac:dyDescent="0.3">
      <c r="L13" s="90" t="str">
        <f>'Occ T3'!A45</f>
        <v>82 Transport and mobile machine drivers and operatives</v>
      </c>
      <c r="M13" s="90">
        <f>'Occ T2'!H176</f>
        <v>1.5996146886210205E-2</v>
      </c>
      <c r="N13" s="90">
        <f>'Occ T2'!I176</f>
        <v>0.49349139431071887</v>
      </c>
    </row>
    <row r="14" spans="1:14" x14ac:dyDescent="0.3">
      <c r="L14" s="90" t="str">
        <f>'Occ T3'!A44</f>
        <v>81 Process, plant and machine operatives</v>
      </c>
      <c r="M14" s="90">
        <f>'Occ T2'!H175</f>
        <v>-3.1673095902230775</v>
      </c>
      <c r="N14" s="90">
        <f>'Occ T2'!I175</f>
        <v>1.107646384199712</v>
      </c>
    </row>
    <row r="15" spans="1:14" x14ac:dyDescent="0.3">
      <c r="L15" s="113" t="str">
        <f>"["&amp;'Occ T3'!A43&amp;"]"</f>
        <v>[Process, plant and machine operatives]</v>
      </c>
      <c r="M15" s="90">
        <f>'Occ T1'!H87</f>
        <v>-1.2197608898178558</v>
      </c>
      <c r="N15" s="90">
        <f>'Occ T1'!I87</f>
        <v>0.72400034116195666</v>
      </c>
    </row>
    <row r="16" spans="1:14" x14ac:dyDescent="0.3">
      <c r="L16" s="113"/>
    </row>
    <row r="17" spans="12:14" x14ac:dyDescent="0.3">
      <c r="L17" s="90" t="str">
        <f>'Occ T3'!A41</f>
        <v>72 Customer service occupations</v>
      </c>
      <c r="M17" s="90">
        <f>'Occ T2'!H174</f>
        <v>2.1041427488282416</v>
      </c>
      <c r="N17" s="90">
        <f>'Occ T2'!I174</f>
        <v>2.6035716235012663</v>
      </c>
    </row>
    <row r="18" spans="12:14" x14ac:dyDescent="0.3">
      <c r="L18" s="90" t="str">
        <f>'Occ T3'!A40</f>
        <v>71 Sales occupations</v>
      </c>
      <c r="M18" s="90">
        <f>'Occ T2'!H173</f>
        <v>-1.4448036019851229</v>
      </c>
      <c r="N18" s="90">
        <f>'Occ T2'!I173</f>
        <v>-0.81292691960828112</v>
      </c>
    </row>
    <row r="19" spans="12:14" x14ac:dyDescent="0.3">
      <c r="L19" s="113" t="str">
        <f>"["&amp;'Occ T3'!A39&amp;"]"</f>
        <v>[Sales and customer service occupations]</v>
      </c>
      <c r="M19" s="90">
        <f>'Occ T1'!H86</f>
        <v>-0.74000500007874725</v>
      </c>
      <c r="N19" s="90">
        <f>'Occ T1'!I86</f>
        <v>7.4290017933420494E-2</v>
      </c>
    </row>
    <row r="20" spans="12:14" x14ac:dyDescent="0.3">
      <c r="L20" s="113"/>
    </row>
    <row r="21" spans="12:14" x14ac:dyDescent="0.3">
      <c r="L21" s="106" t="str">
        <f>'Occ T3'!A37</f>
        <v>63 Community and civil enforcement occupations</v>
      </c>
      <c r="M21" s="90">
        <f>'Occ T2'!H172</f>
        <v>1.9361901365344769</v>
      </c>
      <c r="N21" s="90">
        <f>'Occ T2'!I172</f>
        <v>-0.87560116228070362</v>
      </c>
    </row>
    <row r="22" spans="12:14" x14ac:dyDescent="0.3">
      <c r="L22" s="90" t="str">
        <f>'Occ T3'!A36</f>
        <v>62 Leisure, travel and related personal service occupations</v>
      </c>
      <c r="M22" s="90">
        <f>'Occ T2'!H171</f>
        <v>-6.1374739345343432E-2</v>
      </c>
      <c r="N22" s="90">
        <f>'Occ T2'!I171</f>
        <v>0.37966840586167727</v>
      </c>
    </row>
    <row r="23" spans="12:14" x14ac:dyDescent="0.3">
      <c r="L23" s="90" t="str">
        <f>'Occ T3'!A35</f>
        <v>61 Caring personal service occupations</v>
      </c>
      <c r="M23" s="90">
        <f>'Occ T2'!H170</f>
        <v>-4.2024002709906139E-2</v>
      </c>
      <c r="N23" s="90">
        <f>'Occ T2'!I170</f>
        <v>1.175749416158367</v>
      </c>
    </row>
    <row r="24" spans="12:14" x14ac:dyDescent="0.3">
      <c r="L24" s="113" t="str">
        <f>"["&amp;'Occ T3'!A34&amp;"]"</f>
        <v>[Caring, leisure and other service occupations]</v>
      </c>
      <c r="M24" s="90">
        <f>'Occ T1'!H85</f>
        <v>-2.4453371553012637E-2</v>
      </c>
      <c r="N24" s="90">
        <f>'Occ T1'!I85</f>
        <v>0.9762195794202011</v>
      </c>
    </row>
    <row r="25" spans="12:14" x14ac:dyDescent="0.3">
      <c r="L25" s="113"/>
    </row>
    <row r="26" spans="12:14" x14ac:dyDescent="0.3">
      <c r="L26" s="90" t="str">
        <f>'Occ T3'!A32</f>
        <v>54 Textiles, printing and other skilled trades</v>
      </c>
      <c r="M26" s="90">
        <f>'Occ T2'!H169</f>
        <v>-2.8675292689798626</v>
      </c>
      <c r="N26" s="90">
        <f>'Occ T2'!I169</f>
        <v>4.6149139312401388E-2</v>
      </c>
    </row>
    <row r="27" spans="12:14" x14ac:dyDescent="0.3">
      <c r="L27" s="90" t="str">
        <f>'Occ T3'!A31</f>
        <v>53 Skilled construction and building trades</v>
      </c>
      <c r="M27" s="90">
        <f>'Occ T2'!H168</f>
        <v>-3.5207429894939968</v>
      </c>
      <c r="N27" s="90">
        <f>'Occ T2'!I168</f>
        <v>-3.7826653931716248E-2</v>
      </c>
    </row>
    <row r="28" spans="12:14" x14ac:dyDescent="0.3">
      <c r="L28" s="90" t="str">
        <f>'Occ T3'!A30</f>
        <v>52 Skilled metal, electrical and electronic trades</v>
      </c>
      <c r="M28" s="90">
        <f>'Occ T2'!H167</f>
        <v>-2.3282691912878573</v>
      </c>
      <c r="N28" s="90">
        <f>'Occ T2'!I167</f>
        <v>-0.39716687477455714</v>
      </c>
    </row>
    <row r="29" spans="12:14" x14ac:dyDescent="0.3">
      <c r="L29" s="90" t="str">
        <f>'Occ T3'!A29</f>
        <v>51 Skilled agricultural and related trades</v>
      </c>
      <c r="M29" s="90">
        <f>'Occ T2'!H166</f>
        <v>-1.9194706789793292</v>
      </c>
      <c r="N29" s="90">
        <f>'Occ T2'!I166</f>
        <v>0.8800468813655149</v>
      </c>
    </row>
    <row r="30" spans="12:14" x14ac:dyDescent="0.3">
      <c r="L30" s="113" t="str">
        <f>"["&amp;'Occ T3'!A28&amp;"]"</f>
        <v>[Skilled trades occupations]</v>
      </c>
      <c r="M30" s="90">
        <f>'Occ T1'!H84</f>
        <v>-2.7758639088215742</v>
      </c>
      <c r="N30" s="90">
        <f>'Occ T1'!I84</f>
        <v>-4.2992977080535955E-2</v>
      </c>
    </row>
    <row r="31" spans="12:14" x14ac:dyDescent="0.3">
      <c r="L31" s="113"/>
    </row>
    <row r="32" spans="12:14" x14ac:dyDescent="0.3">
      <c r="L32" s="90" t="str">
        <f>'Occ T3'!A26</f>
        <v>42 Secretarial and related occupations</v>
      </c>
      <c r="M32" s="90">
        <f>'Occ T2'!H165</f>
        <v>-2.20542245349582</v>
      </c>
      <c r="N32" s="90">
        <f>'Occ T2'!I165</f>
        <v>-1.2597887675764419</v>
      </c>
    </row>
    <row r="33" spans="12:14" x14ac:dyDescent="0.3">
      <c r="L33" s="90" t="str">
        <f>'Occ T3'!A25</f>
        <v>41 Administrative occupations</v>
      </c>
      <c r="M33" s="90">
        <f>'Occ T2'!H164</f>
        <v>0.51344497255396693</v>
      </c>
      <c r="N33" s="90">
        <f>'Occ T2'!I164</f>
        <v>-0.90370306633366093</v>
      </c>
    </row>
    <row r="34" spans="12:14" x14ac:dyDescent="0.3">
      <c r="L34" s="113" t="str">
        <f>"["&amp;'Occ T3'!A24&amp;"]"</f>
        <v>[Administrative and secretarial occupations]</v>
      </c>
      <c r="M34" s="90">
        <f>'Occ T1'!H83</f>
        <v>-1.5648191373662801E-2</v>
      </c>
      <c r="N34" s="90">
        <f>'Occ T1'!I83</f>
        <v>-0.96717584556493819</v>
      </c>
    </row>
    <row r="35" spans="12:14" x14ac:dyDescent="0.3">
      <c r="L35" s="113"/>
    </row>
    <row r="36" spans="12:14" x14ac:dyDescent="0.3">
      <c r="L36" s="90" t="str">
        <f>'Occ T3'!A22</f>
        <v>35 Business and public service associate professionals</v>
      </c>
      <c r="M36" s="90">
        <f>'Occ T2'!H163</f>
        <v>2.1004167757346481</v>
      </c>
      <c r="N36" s="90">
        <f>'Occ T2'!I163</f>
        <v>6.7891509494089064E-2</v>
      </c>
    </row>
    <row r="37" spans="12:14" x14ac:dyDescent="0.3">
      <c r="L37" s="90" t="str">
        <f>'Occ T3'!A21</f>
        <v>34 Culture, media and sports occupations</v>
      </c>
      <c r="M37" s="90">
        <f>'Occ T2'!H162</f>
        <v>1.5845421248475766</v>
      </c>
      <c r="N37" s="90">
        <f>'Occ T2'!I162</f>
        <v>0.63659013431613953</v>
      </c>
    </row>
    <row r="38" spans="12:14" x14ac:dyDescent="0.3">
      <c r="L38" s="90" t="str">
        <f>'Occ T3'!A20</f>
        <v>33 Protective service occupations</v>
      </c>
      <c r="M38" s="90">
        <f>'Occ T2'!H161</f>
        <v>1.7798687702755389</v>
      </c>
      <c r="N38" s="90">
        <f>'Occ T2'!I161</f>
        <v>2.1428952180943206</v>
      </c>
    </row>
    <row r="39" spans="12:14" x14ac:dyDescent="0.3">
      <c r="L39" s="90" t="str">
        <f>'Occ T3'!A19</f>
        <v>32 Health and social care associate professionals</v>
      </c>
      <c r="M39" s="90">
        <f>'Occ T2'!H160</f>
        <v>2.9002875168829156</v>
      </c>
      <c r="N39" s="90">
        <f>'Occ T2'!I160</f>
        <v>0.70556469457463411</v>
      </c>
    </row>
    <row r="40" spans="12:14" x14ac:dyDescent="0.3">
      <c r="L40" s="90" t="str">
        <f>'Occ T3'!A18</f>
        <v>31 Science, engineering and technology associate professionals</v>
      </c>
      <c r="M40" s="90">
        <f>'Occ T2'!H159</f>
        <v>5.0154403194468511</v>
      </c>
      <c r="N40" s="90">
        <f>'Occ T2'!I159</f>
        <v>-0.34992770423570851</v>
      </c>
    </row>
    <row r="41" spans="12:14" x14ac:dyDescent="0.3">
      <c r="L41" s="113" t="str">
        <f>"["&amp;'Occ T3'!A17&amp;"]"</f>
        <v>[Associate professional occupations]</v>
      </c>
      <c r="M41" s="90">
        <f>'Occ T1'!H82</f>
        <v>2.4830943556996887</v>
      </c>
      <c r="N41" s="90">
        <f>'Occ T1'!I82</f>
        <v>0.37767382971936048</v>
      </c>
    </row>
    <row r="42" spans="12:14" x14ac:dyDescent="0.3">
      <c r="L42" s="113"/>
    </row>
    <row r="43" spans="12:14" x14ac:dyDescent="0.3">
      <c r="L43" s="90" t="str">
        <f>'Occ T3'!A15</f>
        <v>24 Business, media and public service professionals</v>
      </c>
      <c r="M43" s="90">
        <f>'Occ T2'!H158</f>
        <v>4.965415111673388</v>
      </c>
      <c r="N43" s="90">
        <f>'Occ T2'!I158</f>
        <v>1.5491443092783719</v>
      </c>
    </row>
    <row r="44" spans="12:14" x14ac:dyDescent="0.3">
      <c r="L44" s="90" t="str">
        <f>'Occ T3'!A14</f>
        <v>23 Teaching and other educational professionals</v>
      </c>
      <c r="M44" s="90">
        <f>'Occ T2'!H157</f>
        <v>1.9595828464244347</v>
      </c>
      <c r="N44" s="90">
        <f>'Occ T2'!I157</f>
        <v>0.83303865401318511</v>
      </c>
    </row>
    <row r="45" spans="12:14" x14ac:dyDescent="0.3">
      <c r="L45" s="90" t="str">
        <f>'Occ T3'!A13</f>
        <v>22 Health professionals</v>
      </c>
      <c r="M45" s="90">
        <f>'Occ T2'!H156</f>
        <v>2.9700976944834645</v>
      </c>
      <c r="N45" s="90">
        <f>'Occ T2'!I156</f>
        <v>1.0715617886405404</v>
      </c>
    </row>
    <row r="46" spans="12:14" x14ac:dyDescent="0.3">
      <c r="L46" s="90" t="str">
        <f>'Occ T3'!A12</f>
        <v>21 Science, research, engineering and technology professionals</v>
      </c>
      <c r="M46" s="90">
        <f>'Occ T2'!H155</f>
        <v>3.6799219059760802</v>
      </c>
      <c r="N46" s="90">
        <f>'Occ T2'!I155</f>
        <v>1.1113918569869208</v>
      </c>
    </row>
    <row r="47" spans="12:14" x14ac:dyDescent="0.3">
      <c r="L47" s="113" t="str">
        <f>"["&amp;'Occ T3'!A11&amp;"]"</f>
        <v>[Professional occupations]</v>
      </c>
      <c r="M47" s="90">
        <f>'Occ T1'!H81</f>
        <v>3.5583797355010827</v>
      </c>
      <c r="N47" s="90">
        <f>'Occ T1'!I81</f>
        <v>1.1918424533805316</v>
      </c>
    </row>
    <row r="49" spans="12:14" x14ac:dyDescent="0.3">
      <c r="L49" s="106" t="str">
        <f>'Occ T3'!A9</f>
        <v>12 Other managers and proprietors</v>
      </c>
      <c r="M49" s="90">
        <f>'Occ T2'!H154</f>
        <v>1.5449539223747921</v>
      </c>
      <c r="N49" s="90">
        <f>'Occ T2'!I154</f>
        <v>2.4304416563410314</v>
      </c>
    </row>
    <row r="50" spans="12:14" x14ac:dyDescent="0.3">
      <c r="L50" s="106" t="str">
        <f>'Occ T3'!A8</f>
        <v>11 Corporate managers and directors</v>
      </c>
      <c r="M50" s="90">
        <f>'Occ T2'!H153</f>
        <v>3.9090403798000217</v>
      </c>
      <c r="N50" s="90">
        <f>'Occ T2'!I153</f>
        <v>0.1910632416767255</v>
      </c>
    </row>
    <row r="51" spans="12:14" x14ac:dyDescent="0.3">
      <c r="L51" s="113" t="str">
        <f>"["&amp;'Occ T3'!A7&amp;"]"</f>
        <v>[Managers, directors and senior officials]</v>
      </c>
      <c r="M51" s="90">
        <f>'Occ T1'!H80</f>
        <v>3.1592954795900186</v>
      </c>
      <c r="N51" s="90">
        <f>'Occ T1'!I80</f>
        <v>0.94408761033182298</v>
      </c>
    </row>
    <row r="80" spans="1:1" ht="15.45" x14ac:dyDescent="0.4">
      <c r="A80" s="155" t="str">
        <f>CONCATENATE("Occupation Figure 1.1  Change in Employment by Occupation (SOC 2020), ",M81," and ",N81,", ",Info!B5)</f>
        <v>Occupation Figure 1.1  Change in Employment by Occupation (SOC 2020), 2015-2020 and 2020-2035, England</v>
      </c>
    </row>
    <row r="81" spans="12:14" x14ac:dyDescent="0.3">
      <c r="M81" s="106" t="str">
        <f>'Occ F1'!M6</f>
        <v>2015-2020</v>
      </c>
      <c r="N81" s="106" t="str">
        <f>'Occ F1'!N6</f>
        <v>2020-2035</v>
      </c>
    </row>
    <row r="82" spans="12:14" x14ac:dyDescent="0.3">
      <c r="L82" s="10" t="str">
        <f>name!D4</f>
        <v>11 Corporate managers and directors</v>
      </c>
      <c r="M82" s="93">
        <f>'Occ T2'!D8-'Occ T2'!B8</f>
        <v>401.42954662195348</v>
      </c>
      <c r="N82" s="93">
        <f>'Occ T2'!F119</f>
        <v>66.830831260384002</v>
      </c>
    </row>
    <row r="83" spans="12:14" x14ac:dyDescent="0.3">
      <c r="L83" s="10" t="str">
        <f>name!D5</f>
        <v>12 Other managers and proprietors</v>
      </c>
      <c r="M83" s="93">
        <f>'Occ T2'!D9-'Occ T2'!B9</f>
        <v>73.578551759897096</v>
      </c>
      <c r="N83" s="93">
        <f>'Occ T2'!F120</f>
        <v>432.36780951669675</v>
      </c>
    </row>
    <row r="84" spans="12:14" x14ac:dyDescent="0.3">
      <c r="L84" s="10" t="str">
        <f>name!D6</f>
        <v>21 Science, research, engineering and technology professionals</v>
      </c>
      <c r="M84" s="93">
        <f>'Occ T2'!D10-'Occ T2'!B10</f>
        <v>313.9179180273627</v>
      </c>
      <c r="N84" s="93">
        <f>'Occ T2'!F121</f>
        <v>342.43536345912639</v>
      </c>
    </row>
    <row r="85" spans="12:14" x14ac:dyDescent="0.3">
      <c r="L85" s="10" t="str">
        <f>name!D7</f>
        <v>22 Health professionals</v>
      </c>
      <c r="M85" s="93">
        <f>'Occ T2'!D11-'Occ T2'!B11</f>
        <v>184.29516699475062</v>
      </c>
      <c r="N85" s="93">
        <f>'Occ T2'!F122</f>
        <v>234.69634350282377</v>
      </c>
    </row>
    <row r="86" spans="12:14" x14ac:dyDescent="0.3">
      <c r="L86" s="10" t="str">
        <f>name!D8</f>
        <v>23 Teaching and other educational professionals</v>
      </c>
      <c r="M86" s="93">
        <f>'Occ T2'!D12-'Occ T2'!B12</f>
        <v>138.7555621839897</v>
      </c>
      <c r="N86" s="93">
        <f>'Occ T2'!F123</f>
        <v>198.83493812972642</v>
      </c>
    </row>
    <row r="87" spans="12:14" x14ac:dyDescent="0.3">
      <c r="L87" s="10" t="str">
        <f>name!D9</f>
        <v>24 Business, media and public service professionals</v>
      </c>
      <c r="M87" s="93">
        <f>'Occ T2'!D13-'Occ T2'!B13</f>
        <v>492.69561752709978</v>
      </c>
      <c r="N87" s="93">
        <f>'Occ T2'!F124</f>
        <v>593.80917756597091</v>
      </c>
    </row>
    <row r="88" spans="12:14" x14ac:dyDescent="0.3">
      <c r="L88" s="10" t="str">
        <f>name!D10</f>
        <v>31 Science, engineering and technology associate professionals</v>
      </c>
      <c r="M88" s="93">
        <f>'Occ T2'!D14-'Occ T2'!B14</f>
        <v>128.43134791595526</v>
      </c>
      <c r="N88" s="93">
        <f>'Occ T2'!F125</f>
        <v>-30.309211038347598</v>
      </c>
    </row>
    <row r="89" spans="12:14" x14ac:dyDescent="0.3">
      <c r="L89" s="10" t="str">
        <f>name!D11</f>
        <v>32 Health and social care associate professionals</v>
      </c>
      <c r="M89" s="93">
        <f>'Occ T2'!D15-'Occ T2'!B15</f>
        <v>75.761377652310216</v>
      </c>
      <c r="N89" s="93">
        <f>'Occ T2'!F126</f>
        <v>63.260756047701989</v>
      </c>
    </row>
    <row r="90" spans="12:14" x14ac:dyDescent="0.3">
      <c r="L90" s="10" t="str">
        <f>name!D12</f>
        <v>33 Protective service occupations</v>
      </c>
      <c r="M90" s="93">
        <f>'Occ T2'!D16-'Occ T2'!B16</f>
        <v>27.161356015765136</v>
      </c>
      <c r="N90" s="93">
        <f>'Occ T2'!F127</f>
        <v>120.45198686711041</v>
      </c>
    </row>
    <row r="91" spans="12:14" x14ac:dyDescent="0.3">
      <c r="L91" s="10" t="str">
        <f>name!D13</f>
        <v>34 Culture, media and sports occupations</v>
      </c>
      <c r="M91" s="93">
        <f>'Occ T2'!D17-'Occ T2'!B17</f>
        <v>51.305039435336198</v>
      </c>
      <c r="N91" s="93">
        <f>'Occ T2'!F128</f>
        <v>67.774691296335163</v>
      </c>
    </row>
    <row r="92" spans="12:14" x14ac:dyDescent="0.3">
      <c r="L92" s="10" t="str">
        <f>name!D14</f>
        <v>35 Business and public service associate professionals</v>
      </c>
      <c r="M92" s="93">
        <f>'Occ T2'!D18-'Occ T2'!B18</f>
        <v>196.5876332453081</v>
      </c>
      <c r="N92" s="93">
        <f>'Occ T2'!F129</f>
        <v>20.377338341135783</v>
      </c>
    </row>
    <row r="93" spans="12:14" x14ac:dyDescent="0.3">
      <c r="L93" s="10" t="str">
        <f>name!D15</f>
        <v>41 Administrative occupations</v>
      </c>
      <c r="M93" s="93">
        <f>'Occ T2'!D19-'Occ T2'!B19</f>
        <v>65.084542483505174</v>
      </c>
      <c r="N93" s="93">
        <f>'Occ T2'!F130</f>
        <v>-327.73892518532239</v>
      </c>
    </row>
    <row r="94" spans="12:14" x14ac:dyDescent="0.3">
      <c r="L94" s="10" t="str">
        <f>name!D16</f>
        <v>42 Secretarial and related occupations</v>
      </c>
      <c r="M94" s="93">
        <f>'Occ T2'!D20-'Occ T2'!B20</f>
        <v>-67.547965455410122</v>
      </c>
      <c r="N94" s="93">
        <f>'Occ T2'!F131</f>
        <v>-99.169356406169413</v>
      </c>
    </row>
    <row r="95" spans="12:14" x14ac:dyDescent="0.3">
      <c r="L95" s="10" t="str">
        <f>name!D17</f>
        <v>51 Skilled agricultural and related trades</v>
      </c>
      <c r="M95" s="93">
        <f>'Occ T2'!D21-'Occ T2'!B21</f>
        <v>-27.600501417702219</v>
      </c>
      <c r="N95" s="93">
        <f>'Occ T2'!F132</f>
        <v>38.097449706564475</v>
      </c>
    </row>
    <row r="96" spans="12:14" x14ac:dyDescent="0.3">
      <c r="L96" s="10" t="str">
        <f>name!D18</f>
        <v>52 Skilled metal, electrical and electronic trades</v>
      </c>
      <c r="M96" s="93">
        <f>'Occ T2'!D22-'Occ T2'!B22</f>
        <v>-115.80179817862347</v>
      </c>
      <c r="N96" s="93">
        <f>'Occ T2'!F133</f>
        <v>-53.679452307727388</v>
      </c>
    </row>
    <row r="97" spans="12:14" x14ac:dyDescent="0.3">
      <c r="L97" s="10" t="str">
        <f>name!D19</f>
        <v>53 Skilled construction and building trades</v>
      </c>
      <c r="M97" s="93">
        <f>'Occ T2'!D23-'Occ T2'!B23</f>
        <v>-150.6537718299528</v>
      </c>
      <c r="N97" s="93">
        <f>'Occ T2'!F134</f>
        <v>-4.3436953863813415</v>
      </c>
    </row>
    <row r="98" spans="12:14" x14ac:dyDescent="0.3">
      <c r="L98" s="10" t="str">
        <f>name!D20</f>
        <v>54 Textiles, printing and other skilled trades</v>
      </c>
      <c r="M98" s="93">
        <f>'Occ T2'!D24-'Occ T2'!B24</f>
        <v>-85.356637282106021</v>
      </c>
      <c r="N98" s="93">
        <f>'Occ T2'!F135</f>
        <v>3.7856769421754279</v>
      </c>
    </row>
    <row r="99" spans="12:14" x14ac:dyDescent="0.3">
      <c r="L99" s="10" t="str">
        <f>name!D21</f>
        <v>61 Caring personal service occupations</v>
      </c>
      <c r="M99" s="93">
        <f>'Occ T2'!D25-'Occ T2'!B25</f>
        <v>-4.2623709375370709</v>
      </c>
      <c r="N99" s="93">
        <f>'Occ T2'!F136</f>
        <v>388.26730827253959</v>
      </c>
    </row>
    <row r="100" spans="12:14" x14ac:dyDescent="0.3">
      <c r="L100" s="10" t="str">
        <f>name!D22</f>
        <v>62 Leisure, travel and related personal service occupations</v>
      </c>
      <c r="M100" s="93">
        <f>'Occ T2'!D26-'Occ T2'!B26</f>
        <v>-1.9229327600170336</v>
      </c>
      <c r="N100" s="93">
        <f>'Occ T2'!F137</f>
        <v>36.582939945507633</v>
      </c>
    </row>
    <row r="101" spans="12:14" x14ac:dyDescent="0.3">
      <c r="L101" s="10" t="str">
        <f>name!D23</f>
        <v>63 Community and civil enforcement occupations</v>
      </c>
      <c r="M101" s="93">
        <f>'Occ T2'!D27-'Occ T2'!B27</f>
        <v>2.9022387846755748</v>
      </c>
      <c r="N101" s="93">
        <f>'Occ T2'!F138</f>
        <v>-3.9229759428137037</v>
      </c>
    </row>
    <row r="102" spans="12:14" x14ac:dyDescent="0.3">
      <c r="L102" s="10" t="str">
        <f>name!D24</f>
        <v>71 Sales occupations</v>
      </c>
      <c r="M102" s="93">
        <f>'Occ T2'!D28-'Occ T2'!B28</f>
        <v>-139.81221628434855</v>
      </c>
      <c r="N102" s="93">
        <f>'Occ T2'!F139</f>
        <v>-213.45740286104524</v>
      </c>
    </row>
    <row r="103" spans="12:14" x14ac:dyDescent="0.3">
      <c r="L103" s="10" t="str">
        <f>name!D25</f>
        <v>72 Customer service occupations</v>
      </c>
      <c r="M103" s="93">
        <f>'Occ T2'!D29-'Occ T2'!B29</f>
        <v>50.430839648163271</v>
      </c>
      <c r="N103" s="93">
        <f>'Occ T2'!F140</f>
        <v>239.91940802465979</v>
      </c>
    </row>
    <row r="104" spans="12:14" x14ac:dyDescent="0.3">
      <c r="L104" s="10" t="str">
        <f>name!D26</f>
        <v>81 Process, plant and machine operatives</v>
      </c>
      <c r="M104" s="93">
        <f>'Occ T2'!D30-'Occ T2'!B30</f>
        <v>-106.03143664775394</v>
      </c>
      <c r="N104" s="93">
        <f>'Occ T2'!F141</f>
        <v>109.10947651291474</v>
      </c>
    </row>
    <row r="105" spans="12:14" x14ac:dyDescent="0.3">
      <c r="L105" s="10" t="str">
        <f>name!D27</f>
        <v>82 Transport and mobile machine drivers and operatives</v>
      </c>
      <c r="M105" s="93">
        <f>'Occ T2'!D31-'Occ T2'!B31</f>
        <v>0.84327657813219048</v>
      </c>
      <c r="N105" s="93">
        <f>'Occ T2'!F142</f>
        <v>80.84024964500486</v>
      </c>
    </row>
    <row r="106" spans="12:14" x14ac:dyDescent="0.3">
      <c r="L106" s="10" t="str">
        <f>name!D28</f>
        <v>91 Elementary trades and related occupations</v>
      </c>
      <c r="M106" s="93">
        <f>'Occ T2'!D32-'Occ T2'!B32</f>
        <v>-94.556621086613688</v>
      </c>
      <c r="N106" s="93">
        <f>'Occ T2'!F143</f>
        <v>-76.129011452518796</v>
      </c>
    </row>
    <row r="107" spans="12:14" x14ac:dyDescent="0.3">
      <c r="L107" s="10" t="str">
        <f>name!D29</f>
        <v>92 Elementary administration and service occupations</v>
      </c>
      <c r="M107" s="93">
        <f>'Occ T2'!D33-'Occ T2'!B33</f>
        <v>-206.12476299688387</v>
      </c>
      <c r="N107" s="93">
        <f>'Occ T2'!F144</f>
        <v>-18.281714452173219</v>
      </c>
    </row>
    <row r="108" spans="12:14" x14ac:dyDescent="0.3">
      <c r="L108" s="10"/>
      <c r="M108" s="93"/>
      <c r="N108" s="93"/>
    </row>
    <row r="109" spans="12:14" x14ac:dyDescent="0.3">
      <c r="L109" s="10" t="str">
        <f>name!D3</f>
        <v>All occupations</v>
      </c>
      <c r="M109" s="93">
        <f>'Occ T2'!D35-'Occ T2'!B35</f>
        <v>1203.5089999972661</v>
      </c>
      <c r="N109" s="93">
        <f>'Occ T2'!F146</f>
        <v>2210.410000003867</v>
      </c>
    </row>
    <row r="150" spans="1:16" ht="15.45" x14ac:dyDescent="0.4">
      <c r="A150" s="155" t="str">
        <f>CONCATENATE("Occupation Figure 1.2  Change in Employment by Occupation (SOC 2020), ",M152," and ",N152,", ",Info!B5)</f>
        <v>Occupation Figure 1.2  Change in Employment by Occupation (SOC 2020), 2015 - 2020 and 2020-2035, England</v>
      </c>
    </row>
    <row r="151" spans="1:16" x14ac:dyDescent="0.3">
      <c r="P151" s="93"/>
    </row>
    <row r="152" spans="1:16" x14ac:dyDescent="0.3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3">
      <c r="L153" s="10" t="str">
        <f>name!E4</f>
        <v>Managers, directors and senior officials</v>
      </c>
      <c r="M153" s="93">
        <f>'Occ T1'!D8-'Occ T1'!B8</f>
        <v>475.00809838185023</v>
      </c>
      <c r="N153" s="93">
        <f>'Occ T1'!H8</f>
        <v>499.19864077708098</v>
      </c>
      <c r="P153" s="93"/>
    </row>
    <row r="154" spans="1:16" x14ac:dyDescent="0.3">
      <c r="L154" s="10" t="str">
        <f>name!E5</f>
        <v>Professional occupations</v>
      </c>
      <c r="M154" s="93">
        <f>'Occ T1'!D9-'Occ T1'!B9</f>
        <v>1129.6642647332028</v>
      </c>
      <c r="N154" s="93">
        <f>'Occ T1'!H9</f>
        <v>1369.775822657648</v>
      </c>
      <c r="P154" s="93"/>
    </row>
    <row r="155" spans="1:16" x14ac:dyDescent="0.3">
      <c r="L155" s="10" t="str">
        <f>name!E6</f>
        <v>Associate professional occupations</v>
      </c>
      <c r="M155" s="93">
        <f>'Occ T1'!D10-'Occ T1'!B10</f>
        <v>479.24675426467456</v>
      </c>
      <c r="N155" s="93">
        <f>'Occ T1'!H10</f>
        <v>241.55556151393557</v>
      </c>
      <c r="P155" s="93"/>
    </row>
    <row r="156" spans="1:16" x14ac:dyDescent="0.3">
      <c r="L156" s="10" t="str">
        <f>name!E7</f>
        <v>Administrative and secretarial occupations</v>
      </c>
      <c r="M156" s="93">
        <f>'Occ T1'!D11-'Occ T1'!B11</f>
        <v>-2.4634229719049472</v>
      </c>
      <c r="N156" s="93">
        <f>'Occ T1'!H11</f>
        <v>-426.90828159149214</v>
      </c>
      <c r="P156" s="93"/>
    </row>
    <row r="157" spans="1:16" x14ac:dyDescent="0.3">
      <c r="L157" s="10" t="str">
        <f>name!E8</f>
        <v>Skilled trades occupations</v>
      </c>
      <c r="M157" s="93">
        <f>'Occ T1'!D12-'Occ T1'!B12</f>
        <v>-379.41270870838434</v>
      </c>
      <c r="N157" s="93">
        <f>'Occ T1'!H12</f>
        <v>-16.140021045368485</v>
      </c>
      <c r="P157" s="93"/>
    </row>
    <row r="158" spans="1:16" x14ac:dyDescent="0.3">
      <c r="L158" s="10" t="str">
        <f>name!E9</f>
        <v>Caring, leisure and other service occupations</v>
      </c>
      <c r="M158" s="93">
        <f>'Occ T1'!D13-'Occ T1'!B13</f>
        <v>-3.2830649128786717</v>
      </c>
      <c r="N158" s="93">
        <f>'Occ T1'!H13</f>
        <v>420.92727227523346</v>
      </c>
      <c r="P158" s="93"/>
    </row>
    <row r="159" spans="1:16" x14ac:dyDescent="0.3">
      <c r="L159" s="10" t="str">
        <f>name!E10</f>
        <v>Sales and customer service occupations</v>
      </c>
      <c r="M159" s="93">
        <f>'Occ T1'!D14-'Occ T1'!B14</f>
        <v>-89.381376636184996</v>
      </c>
      <c r="N159" s="93">
        <f>'Occ T1'!H14</f>
        <v>26.462005163614322</v>
      </c>
      <c r="P159" s="93"/>
    </row>
    <row r="160" spans="1:16" x14ac:dyDescent="0.3">
      <c r="L160" s="10" t="str">
        <f>name!E11</f>
        <v>Process, plant and machine operatives</v>
      </c>
      <c r="M160" s="93">
        <f>'Occ T1'!D15-'Occ T1'!B15</f>
        <v>-105.18816006962197</v>
      </c>
      <c r="N160" s="93">
        <f>'Occ T1'!H15</f>
        <v>189.94972615791971</v>
      </c>
      <c r="P160" s="93"/>
    </row>
    <row r="161" spans="12:16" x14ac:dyDescent="0.3">
      <c r="L161" s="10" t="str">
        <f>name!E12</f>
        <v>Elementary occupations</v>
      </c>
      <c r="M161" s="93">
        <f>'Occ T1'!D16-'Occ T1'!B16</f>
        <v>-300.68138408349751</v>
      </c>
      <c r="N161" s="93">
        <f>'Occ T1'!H16</f>
        <v>-94.410725904691844</v>
      </c>
      <c r="P161" s="93"/>
    </row>
    <row r="162" spans="12:16" x14ac:dyDescent="0.3">
      <c r="L162" s="10"/>
      <c r="M162" s="93"/>
      <c r="N162" s="93"/>
      <c r="P162" s="93"/>
    </row>
    <row r="163" spans="12:16" x14ac:dyDescent="0.3">
      <c r="L163" s="10" t="str">
        <f>name!E3</f>
        <v>All occupations</v>
      </c>
      <c r="M163" s="93">
        <f>'Occ T1'!D18-'Occ T1'!B18</f>
        <v>1203.5089999972588</v>
      </c>
      <c r="N163" s="93">
        <f>'Occ T1'!H18</f>
        <v>2210.4100000038793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>
      <selection activeCell="L38" sqref="L38"/>
    </sheetView>
  </sheetViews>
  <sheetFormatPr defaultColWidth="9.15234375" defaultRowHeight="12.45" x14ac:dyDescent="0.3"/>
  <cols>
    <col min="1" max="1" width="17" style="80" customWidth="1"/>
    <col min="2" max="8" width="9.15234375" style="80"/>
    <col min="9" max="9" width="31.84375" style="80" customWidth="1"/>
    <col min="10" max="10" width="11.3046875" style="80" customWidth="1"/>
    <col min="11" max="11" width="6.15234375" style="80" customWidth="1"/>
    <col min="12" max="12" width="52.3046875" customWidth="1"/>
    <col min="13" max="38" width="15.69140625" customWidth="1"/>
    <col min="39" max="39" width="7.69140625" customWidth="1"/>
    <col min="40" max="63" width="6.3046875" customWidth="1"/>
  </cols>
  <sheetData>
    <row r="1" spans="1:67" ht="15.45" x14ac:dyDescent="0.4">
      <c r="A1" s="79" t="str">
        <f>CONCATENATE("Occupation Figure 2  Employment by Occupation (SOC 2020), ",$M$2,"-",$O$2,", ",Info!B5)</f>
        <v>Occupation Figure 2  Employment by Occupation (SOC 2020), 2010-2035, England</v>
      </c>
      <c r="L1" s="45"/>
    </row>
    <row r="2" spans="1:67" x14ac:dyDescent="0.3">
      <c r="A2" s="181" t="s">
        <v>536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3">
      <c r="L3" s="15"/>
      <c r="M3" s="15"/>
      <c r="N3" s="46"/>
      <c r="O3" s="15"/>
    </row>
    <row r="4" spans="1:67" x14ac:dyDescent="0.3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3">
      <c r="L5" s="16" t="str">
        <f>'Occ T3'!A7</f>
        <v>Managers, directors and senior officials</v>
      </c>
      <c r="M5" s="86">
        <f t="shared" ref="M5:P5" si="0">SUM(M6:M7)</f>
        <v>2281.6256986693516</v>
      </c>
      <c r="N5" s="86">
        <f t="shared" si="0"/>
        <v>2511.4356060613586</v>
      </c>
      <c r="O5" s="86">
        <f t="shared" si="0"/>
        <v>2613.5748297830778</v>
      </c>
      <c r="P5" s="86">
        <f t="shared" si="0"/>
        <v>2655.5287653292894</v>
      </c>
      <c r="Q5" s="86">
        <f>SUM(Q6:Q7)</f>
        <v>2733.1242231780134</v>
      </c>
      <c r="R5" s="86">
        <f t="shared" ref="R5:AL5" si="1">SUM(R6:R7)</f>
        <v>2822.9549666207236</v>
      </c>
      <c r="S5" s="86">
        <f t="shared" si="1"/>
        <v>2914.5795581903117</v>
      </c>
      <c r="T5" s="86">
        <f t="shared" si="1"/>
        <v>3047.9899760189528</v>
      </c>
      <c r="U5" s="86">
        <f t="shared" si="1"/>
        <v>3094.9678905284404</v>
      </c>
      <c r="V5" s="86">
        <f t="shared" si="1"/>
        <v>3241.7877031892972</v>
      </c>
      <c r="W5" s="86">
        <f t="shared" si="1"/>
        <v>3297.9630650025738</v>
      </c>
      <c r="X5" s="86">
        <f t="shared" si="1"/>
        <v>3224.310056470465</v>
      </c>
      <c r="Y5" s="86">
        <f t="shared" si="1"/>
        <v>3264.2453234240566</v>
      </c>
      <c r="Z5" s="86">
        <f t="shared" si="1"/>
        <v>3311.2400141145649</v>
      </c>
      <c r="AA5" s="86">
        <f t="shared" si="1"/>
        <v>3360.4046417611389</v>
      </c>
      <c r="AB5" s="86">
        <f t="shared" si="1"/>
        <v>3401.668012903142</v>
      </c>
      <c r="AC5" s="86">
        <f t="shared" si="1"/>
        <v>3440.7589805922908</v>
      </c>
      <c r="AD5" s="86">
        <f t="shared" si="1"/>
        <v>3478.5699662914212</v>
      </c>
      <c r="AE5" s="86">
        <f t="shared" si="1"/>
        <v>3516.5946136316916</v>
      </c>
      <c r="AF5" s="86">
        <f t="shared" si="1"/>
        <v>3554.7829668977906</v>
      </c>
      <c r="AG5" s="86">
        <f t="shared" si="1"/>
        <v>3594.6864670601144</v>
      </c>
      <c r="AH5" s="86">
        <f t="shared" si="1"/>
        <v>3634.5514880106575</v>
      </c>
      <c r="AI5" s="86">
        <f t="shared" si="1"/>
        <v>3674.8566410594412</v>
      </c>
      <c r="AJ5" s="86">
        <f t="shared" si="1"/>
        <v>3715.4665454121941</v>
      </c>
      <c r="AK5" s="86">
        <f t="shared" si="1"/>
        <v>3756.2429350006978</v>
      </c>
      <c r="AL5" s="86">
        <f t="shared" si="1"/>
        <v>3797.1617057796548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3">
      <c r="L6" s="232" t="str">
        <f>'Occ T3'!A8</f>
        <v>11 Corporate managers and directors</v>
      </c>
      <c r="M6" s="11">
        <v>1555.0928290692907</v>
      </c>
      <c r="N6" s="11">
        <v>1701.6753313117376</v>
      </c>
      <c r="O6" s="11">
        <v>1768.8376003986216</v>
      </c>
      <c r="P6" s="11">
        <v>1803.8616337069168</v>
      </c>
      <c r="Q6" s="11">
        <v>1783.5778246208411</v>
      </c>
      <c r="R6" s="11">
        <v>1899.433639026867</v>
      </c>
      <c r="S6" s="11">
        <v>2045.5640482225749</v>
      </c>
      <c r="T6" s="11">
        <v>2109.9783428562941</v>
      </c>
      <c r="U6" s="11">
        <v>2146.7915220075402</v>
      </c>
      <c r="V6" s="11">
        <v>2252.4434759690844</v>
      </c>
      <c r="W6" s="11">
        <v>2300.8631856488205</v>
      </c>
      <c r="X6" s="11">
        <v>2069.1262987011351</v>
      </c>
      <c r="Y6" s="11">
        <v>2090.1902449552408</v>
      </c>
      <c r="Z6" s="11">
        <v>2115.5390536905538</v>
      </c>
      <c r="AA6" s="11">
        <v>2142.1630901357862</v>
      </c>
      <c r="AB6" s="11">
        <v>2163.7370255462979</v>
      </c>
      <c r="AC6" s="11">
        <v>2183.9499077187875</v>
      </c>
      <c r="AD6" s="11">
        <v>2203.3062683592366</v>
      </c>
      <c r="AE6" s="11">
        <v>2222.7838152363825</v>
      </c>
      <c r="AF6" s="11">
        <v>2242.3466656614969</v>
      </c>
      <c r="AG6" s="11">
        <v>2262.9367802446009</v>
      </c>
      <c r="AH6" s="11">
        <v>2283.4308333099038</v>
      </c>
      <c r="AI6" s="11">
        <v>2304.2069645378624</v>
      </c>
      <c r="AJ6" s="11">
        <v>2325.2129295879622</v>
      </c>
      <c r="AK6" s="11">
        <v>2346.4202428492276</v>
      </c>
      <c r="AL6" s="11">
        <v>2367.6940169092045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3">
      <c r="L7" s="232" t="str">
        <f>'Occ T3'!A9</f>
        <v>12 Other managers and proprietors</v>
      </c>
      <c r="M7" s="11">
        <v>726.53286960006085</v>
      </c>
      <c r="N7" s="11">
        <v>809.76027474962109</v>
      </c>
      <c r="O7" s="11">
        <v>844.73722938445633</v>
      </c>
      <c r="P7" s="11">
        <v>851.66713162237261</v>
      </c>
      <c r="Q7" s="11">
        <v>949.54639855717244</v>
      </c>
      <c r="R7" s="11">
        <v>923.52132759385643</v>
      </c>
      <c r="S7" s="11">
        <v>869.01550996773665</v>
      </c>
      <c r="T7" s="11">
        <v>938.01163316265843</v>
      </c>
      <c r="U7" s="11">
        <v>948.17636852090038</v>
      </c>
      <c r="V7" s="11">
        <v>989.3442272202127</v>
      </c>
      <c r="W7" s="11">
        <v>997.09987935375352</v>
      </c>
      <c r="X7" s="11">
        <v>1155.18375776933</v>
      </c>
      <c r="Y7" s="11">
        <v>1174.055078468816</v>
      </c>
      <c r="Z7" s="11">
        <v>1195.7009604240111</v>
      </c>
      <c r="AA7" s="11">
        <v>1218.2415516253529</v>
      </c>
      <c r="AB7" s="11">
        <v>1237.9309873568443</v>
      </c>
      <c r="AC7" s="11">
        <v>1256.8090728735033</v>
      </c>
      <c r="AD7" s="11">
        <v>1275.2636979321844</v>
      </c>
      <c r="AE7" s="11">
        <v>1293.8107983953091</v>
      </c>
      <c r="AF7" s="11">
        <v>1312.4363012362937</v>
      </c>
      <c r="AG7" s="11">
        <v>1331.7496868155138</v>
      </c>
      <c r="AH7" s="11">
        <v>1351.1206547007534</v>
      </c>
      <c r="AI7" s="11">
        <v>1370.6496765215791</v>
      </c>
      <c r="AJ7" s="11">
        <v>1390.2536158242322</v>
      </c>
      <c r="AK7" s="11">
        <v>1409.8226921514699</v>
      </c>
      <c r="AL7" s="11">
        <v>1429.4676888704503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3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3">
      <c r="L9" s="16" t="str">
        <f>'Occ T3'!A11</f>
        <v>Professional occupations</v>
      </c>
      <c r="M9" s="86">
        <f t="shared" ref="M9:P9" si="2">SUM(M10:M13)</f>
        <v>5491.9730778200928</v>
      </c>
      <c r="N9" s="86">
        <f t="shared" si="2"/>
        <v>5402.9298330231813</v>
      </c>
      <c r="O9" s="86">
        <f t="shared" si="2"/>
        <v>5509.9312605354189</v>
      </c>
      <c r="P9" s="86">
        <f t="shared" si="2"/>
        <v>5652.3270731849989</v>
      </c>
      <c r="Q9" s="86">
        <f>SUM(Q10:Q13)</f>
        <v>5862.1569214731471</v>
      </c>
      <c r="R9" s="86">
        <f t="shared" ref="R9:AL9" si="3">SUM(R10:R13)</f>
        <v>5913.2437820431551</v>
      </c>
      <c r="S9" s="86">
        <f t="shared" si="3"/>
        <v>6251.9687149225729</v>
      </c>
      <c r="T9" s="86">
        <f t="shared" si="3"/>
        <v>6240.211792171287</v>
      </c>
      <c r="U9" s="86">
        <f t="shared" si="3"/>
        <v>6468.2700325882961</v>
      </c>
      <c r="V9" s="86">
        <f t="shared" si="3"/>
        <v>6746.1756140652815</v>
      </c>
      <c r="W9" s="86">
        <f t="shared" si="3"/>
        <v>7042.9080467763579</v>
      </c>
      <c r="X9" s="86">
        <f t="shared" si="3"/>
        <v>7262.1326299583279</v>
      </c>
      <c r="Y9" s="86">
        <f t="shared" si="3"/>
        <v>7338.5333255671703</v>
      </c>
      <c r="Z9" s="86">
        <f t="shared" si="3"/>
        <v>7433.0828564561989</v>
      </c>
      <c r="AA9" s="86">
        <f t="shared" si="3"/>
        <v>7533.4177266732158</v>
      </c>
      <c r="AB9" s="86">
        <f t="shared" si="3"/>
        <v>7617.8402642532928</v>
      </c>
      <c r="AC9" s="86">
        <f t="shared" si="3"/>
        <v>7697.5012435314075</v>
      </c>
      <c r="AD9" s="86">
        <f t="shared" si="3"/>
        <v>7774.5333902288385</v>
      </c>
      <c r="AE9" s="86">
        <f t="shared" si="3"/>
        <v>7851.6227832684635</v>
      </c>
      <c r="AF9" s="86">
        <f t="shared" si="3"/>
        <v>7928.5151478056887</v>
      </c>
      <c r="AG9" s="86">
        <f t="shared" si="3"/>
        <v>8008.5796842314548</v>
      </c>
      <c r="AH9" s="86">
        <f t="shared" si="3"/>
        <v>8088.2939954119211</v>
      </c>
      <c r="AI9" s="86">
        <f t="shared" si="3"/>
        <v>8168.6331211718207</v>
      </c>
      <c r="AJ9" s="86">
        <f t="shared" si="3"/>
        <v>8249.8073659829115</v>
      </c>
      <c r="AK9" s="86">
        <f t="shared" si="3"/>
        <v>8331.1525707584042</v>
      </c>
      <c r="AL9" s="86">
        <f t="shared" si="3"/>
        <v>8412.6838694340058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3">
      <c r="L10" s="232" t="str">
        <f>'Occ T3'!A12</f>
        <v>21 Science, research, engineering and technology professionals</v>
      </c>
      <c r="M10" s="11">
        <v>1420.1871427982635</v>
      </c>
      <c r="N10" s="11">
        <v>1371.03019083965</v>
      </c>
      <c r="O10" s="11">
        <v>1410.8536520703931</v>
      </c>
      <c r="P10" s="11">
        <v>1421.8298267210994</v>
      </c>
      <c r="Q10" s="11">
        <v>1524.5507102970569</v>
      </c>
      <c r="R10" s="11">
        <v>1585.0798970775465</v>
      </c>
      <c r="S10" s="11">
        <v>1675.9861851188994</v>
      </c>
      <c r="T10" s="11">
        <v>1640.6753711170343</v>
      </c>
      <c r="U10" s="11">
        <v>1750.0156419990567</v>
      </c>
      <c r="V10" s="11">
        <v>1824.270392837615</v>
      </c>
      <c r="W10" s="11">
        <v>1898.9978151049093</v>
      </c>
      <c r="X10" s="11">
        <v>1920.9313981662922</v>
      </c>
      <c r="Y10" s="11">
        <v>1943.3375694202732</v>
      </c>
      <c r="Z10" s="11">
        <v>1969.9466543597582</v>
      </c>
      <c r="AA10" s="11">
        <v>1997.6138067551483</v>
      </c>
      <c r="AB10" s="11">
        <v>2020.6337313843233</v>
      </c>
      <c r="AC10" s="11">
        <v>2042.5823354979607</v>
      </c>
      <c r="AD10" s="11">
        <v>2063.7410264487312</v>
      </c>
      <c r="AE10" s="11">
        <v>2085.0594841897887</v>
      </c>
      <c r="AF10" s="11">
        <v>2106.4770165054747</v>
      </c>
      <c r="AG10" s="11">
        <v>2128.7511914131446</v>
      </c>
      <c r="AH10" s="11">
        <v>2150.9316961487953</v>
      </c>
      <c r="AI10" s="11">
        <v>2173.3162915746693</v>
      </c>
      <c r="AJ10" s="11">
        <v>2195.8980881187858</v>
      </c>
      <c r="AK10" s="11">
        <v>2218.5716764356225</v>
      </c>
      <c r="AL10" s="11">
        <v>2241.4331785640356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3">
      <c r="L11" s="232" t="str">
        <f>'Occ T3'!A13</f>
        <v>22 Health professionals</v>
      </c>
      <c r="M11" s="11">
        <v>1003.1062302288118</v>
      </c>
      <c r="N11" s="11">
        <v>1064.0410909171362</v>
      </c>
      <c r="O11" s="11">
        <v>1102.527517522215</v>
      </c>
      <c r="P11" s="11">
        <v>1134.0024383377586</v>
      </c>
      <c r="Q11" s="11">
        <v>1164.7839841833836</v>
      </c>
      <c r="R11" s="11">
        <v>1169.4428202608062</v>
      </c>
      <c r="S11" s="11">
        <v>1222.7706178330977</v>
      </c>
      <c r="T11" s="11">
        <v>1283.4823875362076</v>
      </c>
      <c r="U11" s="11">
        <v>1286.511553583967</v>
      </c>
      <c r="V11" s="11">
        <v>1354.656644154659</v>
      </c>
      <c r="W11" s="11">
        <v>1353.7379872555568</v>
      </c>
      <c r="X11" s="11">
        <v>1399.7278784339899</v>
      </c>
      <c r="Y11" s="11">
        <v>1413.1852977262731</v>
      </c>
      <c r="Z11" s="11">
        <v>1428.886927598111</v>
      </c>
      <c r="AA11" s="11">
        <v>1445.8892222650861</v>
      </c>
      <c r="AB11" s="11">
        <v>1459.9671953626994</v>
      </c>
      <c r="AC11" s="11">
        <v>1472.9789498176683</v>
      </c>
      <c r="AD11" s="11">
        <v>1485.5547003726749</v>
      </c>
      <c r="AE11" s="11">
        <v>1498.1472613005162</v>
      </c>
      <c r="AF11" s="11">
        <v>1510.3765259844338</v>
      </c>
      <c r="AG11" s="11">
        <v>1523.2934237281725</v>
      </c>
      <c r="AH11" s="11">
        <v>1536.2736618556842</v>
      </c>
      <c r="AI11" s="11">
        <v>1549.3482658718935</v>
      </c>
      <c r="AJ11" s="11">
        <v>1562.5887256700303</v>
      </c>
      <c r="AK11" s="11">
        <v>1575.6252484958377</v>
      </c>
      <c r="AL11" s="11">
        <v>1588.4343307583806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3">
      <c r="L12" s="232" t="str">
        <f>'Occ T3'!A14</f>
        <v>23 Teaching and other educational professionals</v>
      </c>
      <c r="M12" s="11">
        <v>1297.4817116619042</v>
      </c>
      <c r="N12" s="11">
        <v>1295.5041258612828</v>
      </c>
      <c r="O12" s="11">
        <v>1304.7901020474005</v>
      </c>
      <c r="P12" s="11">
        <v>1321.8378949594814</v>
      </c>
      <c r="Q12" s="11">
        <v>1349.6706922222211</v>
      </c>
      <c r="R12" s="11">
        <v>1361.749185159139</v>
      </c>
      <c r="S12" s="11">
        <v>1414.0951948998788</v>
      </c>
      <c r="T12" s="11">
        <v>1370.7149536025515</v>
      </c>
      <c r="U12" s="11">
        <v>1392.5093588649404</v>
      </c>
      <c r="V12" s="11">
        <v>1441.2390325186961</v>
      </c>
      <c r="W12" s="11">
        <v>1500.5047473431287</v>
      </c>
      <c r="X12" s="11">
        <v>1505.1976026937753</v>
      </c>
      <c r="Y12" s="11">
        <v>1513.7629773643962</v>
      </c>
      <c r="Z12" s="11">
        <v>1529.4329399826167</v>
      </c>
      <c r="AA12" s="11">
        <v>1546.80101298612</v>
      </c>
      <c r="AB12" s="11">
        <v>1561.7727543970723</v>
      </c>
      <c r="AC12" s="11">
        <v>1575.7498299237186</v>
      </c>
      <c r="AD12" s="11">
        <v>1589.2511830351773</v>
      </c>
      <c r="AE12" s="11">
        <v>1602.6330130597937</v>
      </c>
      <c r="AF12" s="11">
        <v>1615.964189694183</v>
      </c>
      <c r="AG12" s="11">
        <v>1629.7939933651248</v>
      </c>
      <c r="AH12" s="11">
        <v>1643.5363367899381</v>
      </c>
      <c r="AI12" s="11">
        <v>1657.3204854619489</v>
      </c>
      <c r="AJ12" s="11">
        <v>1671.2629574204211</v>
      </c>
      <c r="AK12" s="11">
        <v>1685.2845258034954</v>
      </c>
      <c r="AL12" s="11">
        <v>1699.3396854728551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3">
      <c r="L13" s="232" t="str">
        <f>'Occ T3'!A15</f>
        <v>24 Business, media and public service professionals</v>
      </c>
      <c r="M13" s="11">
        <v>1771.1979931311132</v>
      </c>
      <c r="N13" s="11">
        <v>1672.3544254051124</v>
      </c>
      <c r="O13" s="11">
        <v>1691.7599888954101</v>
      </c>
      <c r="P13" s="11">
        <v>1774.6569131666597</v>
      </c>
      <c r="Q13" s="11">
        <v>1823.1515347704856</v>
      </c>
      <c r="R13" s="11">
        <v>1796.9718795456633</v>
      </c>
      <c r="S13" s="11">
        <v>1939.116717070697</v>
      </c>
      <c r="T13" s="11">
        <v>1945.3390799154929</v>
      </c>
      <c r="U13" s="11">
        <v>2039.233478140331</v>
      </c>
      <c r="V13" s="11">
        <v>2126.0095445543111</v>
      </c>
      <c r="W13" s="11">
        <v>2289.6674970727631</v>
      </c>
      <c r="X13" s="11">
        <v>2436.2757506642702</v>
      </c>
      <c r="Y13" s="11">
        <v>2468.2474810562267</v>
      </c>
      <c r="Z13" s="11">
        <v>2504.8163345157127</v>
      </c>
      <c r="AA13" s="11">
        <v>2543.1136846668614</v>
      </c>
      <c r="AB13" s="11">
        <v>2575.4665831091975</v>
      </c>
      <c r="AC13" s="11">
        <v>2606.1901282920594</v>
      </c>
      <c r="AD13" s="11">
        <v>2635.9864803722553</v>
      </c>
      <c r="AE13" s="11">
        <v>2665.7830247183651</v>
      </c>
      <c r="AF13" s="11">
        <v>2695.6974156215979</v>
      </c>
      <c r="AG13" s="11">
        <v>2726.7410757250127</v>
      </c>
      <c r="AH13" s="11">
        <v>2757.5523006175035</v>
      </c>
      <c r="AI13" s="11">
        <v>2788.6480782633093</v>
      </c>
      <c r="AJ13" s="11">
        <v>2820.0575947736747</v>
      </c>
      <c r="AK13" s="11">
        <v>2851.6711200234495</v>
      </c>
      <c r="AL13" s="11">
        <v>2883.476674638734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3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3">
      <c r="L15" s="16" t="str">
        <f>'Occ T3'!A17</f>
        <v>Associate professional occupations</v>
      </c>
      <c r="M15" s="86">
        <f>SUM(M16:M20)</f>
        <v>3292.8809152178014</v>
      </c>
      <c r="N15" s="86">
        <f t="shared" ref="N15:P15" si="4">SUM(N16:N20)</f>
        <v>3340.7743061288438</v>
      </c>
      <c r="O15" s="86">
        <f t="shared" si="4"/>
        <v>3482.3831636120644</v>
      </c>
      <c r="P15" s="86">
        <f t="shared" si="4"/>
        <v>3461.7090507575394</v>
      </c>
      <c r="Q15" s="86">
        <f>SUM(Q16:Q20)</f>
        <v>3613.7383486507815</v>
      </c>
      <c r="R15" s="86">
        <f t="shared" ref="R15:AL15" si="5">SUM(R16:R20)</f>
        <v>3673.0788633877009</v>
      </c>
      <c r="S15" s="86">
        <f t="shared" si="5"/>
        <v>3791.6380386926935</v>
      </c>
      <c r="T15" s="86">
        <f t="shared" si="5"/>
        <v>3885.2109821433723</v>
      </c>
      <c r="U15" s="86">
        <f t="shared" si="5"/>
        <v>3944.0265647693341</v>
      </c>
      <c r="V15" s="86">
        <f t="shared" si="5"/>
        <v>3966.2899027660596</v>
      </c>
      <c r="W15" s="86">
        <f t="shared" si="5"/>
        <v>4152.3256176523755</v>
      </c>
      <c r="X15" s="86">
        <f t="shared" si="5"/>
        <v>3935.831418832071</v>
      </c>
      <c r="Y15" s="86">
        <f t="shared" si="5"/>
        <v>3968.0410741823889</v>
      </c>
      <c r="Z15" s="86">
        <f t="shared" si="5"/>
        <v>4008.1728316571871</v>
      </c>
      <c r="AA15" s="86">
        <f t="shared" si="5"/>
        <v>4051.4327249098806</v>
      </c>
      <c r="AB15" s="86">
        <f t="shared" si="5"/>
        <v>4085.2103165469375</v>
      </c>
      <c r="AC15" s="86">
        <f t="shared" si="5"/>
        <v>4116.2166871819472</v>
      </c>
      <c r="AD15" s="86">
        <f t="shared" si="5"/>
        <v>4145.6386526853184</v>
      </c>
      <c r="AE15" s="86">
        <f t="shared" si="5"/>
        <v>4174.8738087292268</v>
      </c>
      <c r="AF15" s="86">
        <f t="shared" si="5"/>
        <v>4204.3685027614192</v>
      </c>
      <c r="AG15" s="86">
        <f t="shared" si="5"/>
        <v>4235.564083271267</v>
      </c>
      <c r="AH15" s="86">
        <f t="shared" si="5"/>
        <v>4266.5386129818016</v>
      </c>
      <c r="AI15" s="86">
        <f t="shared" si="5"/>
        <v>4297.971674519722</v>
      </c>
      <c r="AJ15" s="86">
        <f t="shared" si="5"/>
        <v>4329.8842060471761</v>
      </c>
      <c r="AK15" s="86">
        <f t="shared" si="5"/>
        <v>4361.9704015637572</v>
      </c>
      <c r="AL15" s="86">
        <f t="shared" si="5"/>
        <v>4393.8811791663111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3">
      <c r="L16" s="232" t="str">
        <f>'Occ T3'!A18</f>
        <v>31 Science, engineering and technology associate professionals</v>
      </c>
      <c r="M16" s="11">
        <v>467.45212498258547</v>
      </c>
      <c r="N16" s="11">
        <v>458.96429447052856</v>
      </c>
      <c r="O16" s="11">
        <v>476.81921516189578</v>
      </c>
      <c r="P16" s="11">
        <v>486.6087167273655</v>
      </c>
      <c r="Q16" s="11">
        <v>460.94644461315301</v>
      </c>
      <c r="R16" s="11">
        <v>463.28274271165401</v>
      </c>
      <c r="S16" s="11">
        <v>493.3111167671247</v>
      </c>
      <c r="T16" s="11">
        <v>544.2930239474066</v>
      </c>
      <c r="U16" s="11">
        <v>557.78804474796038</v>
      </c>
      <c r="V16" s="11">
        <v>545.82660644977284</v>
      </c>
      <c r="W16" s="11">
        <v>591.71409062760927</v>
      </c>
      <c r="X16" s="11">
        <v>506.2302936357982</v>
      </c>
      <c r="Y16" s="11">
        <v>510.08570168792465</v>
      </c>
      <c r="Z16" s="11">
        <v>515.0460904356479</v>
      </c>
      <c r="AA16" s="11">
        <v>520.29604573573715</v>
      </c>
      <c r="AB16" s="11">
        <v>524.31655610528492</v>
      </c>
      <c r="AC16" s="11">
        <v>528.06511630941282</v>
      </c>
      <c r="AD16" s="11">
        <v>531.53443042620779</v>
      </c>
      <c r="AE16" s="11">
        <v>534.96805756101185</v>
      </c>
      <c r="AF16" s="11">
        <v>538.45002170576799</v>
      </c>
      <c r="AG16" s="11">
        <v>542.20830560718946</v>
      </c>
      <c r="AH16" s="11">
        <v>545.94892170495007</v>
      </c>
      <c r="AI16" s="11">
        <v>549.75931166291252</v>
      </c>
      <c r="AJ16" s="11">
        <v>553.60790320973899</v>
      </c>
      <c r="AK16" s="11">
        <v>557.50460662008061</v>
      </c>
      <c r="AL16" s="11">
        <v>561.40487958926167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3">
      <c r="L17" s="232" t="str">
        <f>'Occ T3'!A19</f>
        <v>32 Health and social care associate professionals</v>
      </c>
      <c r="M17" s="11">
        <v>373.82851432693712</v>
      </c>
      <c r="N17" s="11">
        <v>474.94822882153028</v>
      </c>
      <c r="O17" s="11">
        <v>475.20536509795244</v>
      </c>
      <c r="P17" s="11">
        <v>470.76042378672764</v>
      </c>
      <c r="Q17" s="11">
        <v>482.03043540624344</v>
      </c>
      <c r="R17" s="11">
        <v>493.00201988165986</v>
      </c>
      <c r="S17" s="11">
        <v>507.83565892658743</v>
      </c>
      <c r="T17" s="11">
        <v>509.1162886777438</v>
      </c>
      <c r="U17" s="11">
        <v>552.21677460044202</v>
      </c>
      <c r="V17" s="11">
        <v>555.82389825767791</v>
      </c>
      <c r="W17" s="11">
        <v>568.76339753397008</v>
      </c>
      <c r="X17" s="11">
        <v>552.36972688474157</v>
      </c>
      <c r="Y17" s="11">
        <v>557.90055166491732</v>
      </c>
      <c r="Z17" s="11">
        <v>564.33842993762187</v>
      </c>
      <c r="AA17" s="11">
        <v>571.34108885768467</v>
      </c>
      <c r="AB17" s="11">
        <v>577.22636351327287</v>
      </c>
      <c r="AC17" s="11">
        <v>582.66463906665069</v>
      </c>
      <c r="AD17" s="11">
        <v>587.92943335906057</v>
      </c>
      <c r="AE17" s="11">
        <v>593.1206830947051</v>
      </c>
      <c r="AF17" s="11">
        <v>598.38485769251622</v>
      </c>
      <c r="AG17" s="11">
        <v>603.9225152822213</v>
      </c>
      <c r="AH17" s="11">
        <v>609.49588866345209</v>
      </c>
      <c r="AI17" s="11">
        <v>615.06035674591385</v>
      </c>
      <c r="AJ17" s="11">
        <v>620.64370520052159</v>
      </c>
      <c r="AK17" s="11">
        <v>626.30002642085765</v>
      </c>
      <c r="AL17" s="11">
        <v>632.02415358167207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3">
      <c r="L18" s="232" t="str">
        <f>'Occ T3'!A20</f>
        <v>33 Protective service occupations</v>
      </c>
      <c r="M18" s="11">
        <v>277.50432583413362</v>
      </c>
      <c r="N18" s="11">
        <v>317.6441821017541</v>
      </c>
      <c r="O18" s="11">
        <v>314.7992267457455</v>
      </c>
      <c r="P18" s="11">
        <v>286.95905987820311</v>
      </c>
      <c r="Q18" s="11">
        <v>292.01944096160975</v>
      </c>
      <c r="R18" s="11">
        <v>294.53338224612929</v>
      </c>
      <c r="S18" s="11">
        <v>318.80828236113587</v>
      </c>
      <c r="T18" s="11">
        <v>305.02037147142818</v>
      </c>
      <c r="U18" s="11">
        <v>303.01112175323885</v>
      </c>
      <c r="V18" s="11">
        <v>302.83777946632188</v>
      </c>
      <c r="W18" s="11">
        <v>321.69473826189443</v>
      </c>
      <c r="X18" s="11">
        <v>358.43434871426439</v>
      </c>
      <c r="Y18" s="11">
        <v>364.53734524019086</v>
      </c>
      <c r="Z18" s="11">
        <v>371.0584266620188</v>
      </c>
      <c r="AA18" s="11">
        <v>377.94527918483203</v>
      </c>
      <c r="AB18" s="11">
        <v>383.8000265113613</v>
      </c>
      <c r="AC18" s="11">
        <v>389.39709673060258</v>
      </c>
      <c r="AD18" s="11">
        <v>394.86712094812532</v>
      </c>
      <c r="AE18" s="11">
        <v>400.36405314119378</v>
      </c>
      <c r="AF18" s="11">
        <v>406.07972670029483</v>
      </c>
      <c r="AG18" s="11">
        <v>411.94177737993783</v>
      </c>
      <c r="AH18" s="11">
        <v>417.84222178231749</v>
      </c>
      <c r="AI18" s="11">
        <v>423.7415917751722</v>
      </c>
      <c r="AJ18" s="11">
        <v>429.98261008055442</v>
      </c>
      <c r="AK18" s="11">
        <v>436.02087902169018</v>
      </c>
      <c r="AL18" s="11">
        <v>442.14672512900484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3">
      <c r="L19" s="232" t="str">
        <f>'Occ T3'!A21</f>
        <v>34 Culture, media and sports occupations</v>
      </c>
      <c r="M19" s="11">
        <v>462.54838632371457</v>
      </c>
      <c r="N19" s="11">
        <v>489.25441131280422</v>
      </c>
      <c r="O19" s="11">
        <v>535.57604871021852</v>
      </c>
      <c r="P19" s="11">
        <v>533.88475683416971</v>
      </c>
      <c r="Q19" s="11">
        <v>600.42127395323905</v>
      </c>
      <c r="R19" s="11">
        <v>627.36985128235654</v>
      </c>
      <c r="S19" s="11">
        <v>624.96935038546349</v>
      </c>
      <c r="T19" s="11">
        <v>647.69870772820764</v>
      </c>
      <c r="U19" s="11">
        <v>652.92825482883848</v>
      </c>
      <c r="V19" s="11">
        <v>627.37830048121612</v>
      </c>
      <c r="W19" s="11">
        <v>678.67489071769273</v>
      </c>
      <c r="X19" s="11">
        <v>641.79585647717829</v>
      </c>
      <c r="Y19" s="11">
        <v>647.92578847913217</v>
      </c>
      <c r="Z19" s="11">
        <v>656.60216935106507</v>
      </c>
      <c r="AA19" s="11">
        <v>666.02858840419606</v>
      </c>
      <c r="AB19" s="11">
        <v>673.70053836370653</v>
      </c>
      <c r="AC19" s="11">
        <v>680.88681901235714</v>
      </c>
      <c r="AD19" s="11">
        <v>687.86404440676438</v>
      </c>
      <c r="AE19" s="11">
        <v>694.76655149018961</v>
      </c>
      <c r="AF19" s="11">
        <v>701.69613460419703</v>
      </c>
      <c r="AG19" s="11">
        <v>708.96072056554499</v>
      </c>
      <c r="AH19" s="11">
        <v>716.19686339961925</v>
      </c>
      <c r="AI19" s="11">
        <v>723.68229880268927</v>
      </c>
      <c r="AJ19" s="11">
        <v>731.22370038654265</v>
      </c>
      <c r="AK19" s="11">
        <v>738.97021485146774</v>
      </c>
      <c r="AL19" s="11">
        <v>746.4495820140279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3">
      <c r="L20" s="232" t="str">
        <f>'Occ T3'!A22</f>
        <v>35 Business and public service associate professionals</v>
      </c>
      <c r="M20" s="11">
        <v>1711.5475637504305</v>
      </c>
      <c r="N20" s="11">
        <v>1599.9631894222266</v>
      </c>
      <c r="O20" s="11">
        <v>1679.9833078962524</v>
      </c>
      <c r="P20" s="11">
        <v>1683.4960935310733</v>
      </c>
      <c r="Q20" s="11">
        <v>1778.3207537165365</v>
      </c>
      <c r="R20" s="11">
        <v>1794.8908672659011</v>
      </c>
      <c r="S20" s="11">
        <v>1846.713630252382</v>
      </c>
      <c r="T20" s="11">
        <v>1879.0825903185857</v>
      </c>
      <c r="U20" s="11">
        <v>1878.0823688388543</v>
      </c>
      <c r="V20" s="11">
        <v>1934.4233181110706</v>
      </c>
      <c r="W20" s="11">
        <v>1991.4785005112092</v>
      </c>
      <c r="X20" s="11">
        <v>1877.0011931200886</v>
      </c>
      <c r="Y20" s="11">
        <v>1887.591687110224</v>
      </c>
      <c r="Z20" s="11">
        <v>1901.1277152708337</v>
      </c>
      <c r="AA20" s="11">
        <v>1915.8217227274306</v>
      </c>
      <c r="AB20" s="11">
        <v>1926.1668320533122</v>
      </c>
      <c r="AC20" s="11">
        <v>1935.2030160629238</v>
      </c>
      <c r="AD20" s="11">
        <v>1943.4436235451601</v>
      </c>
      <c r="AE20" s="11">
        <v>1951.6544634421264</v>
      </c>
      <c r="AF20" s="11">
        <v>1959.757762058643</v>
      </c>
      <c r="AG20" s="11">
        <v>1968.5307644363734</v>
      </c>
      <c r="AH20" s="11">
        <v>1977.0547174314624</v>
      </c>
      <c r="AI20" s="11">
        <v>1985.7281155330343</v>
      </c>
      <c r="AJ20" s="11">
        <v>1994.4262871698188</v>
      </c>
      <c r="AK20" s="11">
        <v>2003.174674649661</v>
      </c>
      <c r="AL20" s="11">
        <v>2011.855838852345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3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3">
      <c r="L22" s="16" t="str">
        <f>'Occ T3'!A24</f>
        <v>Administrative and secretarial occupations</v>
      </c>
      <c r="M22" s="86">
        <f t="shared" ref="M22:P22" si="6">SUM(M23:M24)</f>
        <v>3073.7028316252922</v>
      </c>
      <c r="N22" s="86">
        <f t="shared" si="6"/>
        <v>3023.1591898142456</v>
      </c>
      <c r="O22" s="86">
        <f t="shared" si="6"/>
        <v>3065.4206757518537</v>
      </c>
      <c r="P22" s="86">
        <f t="shared" si="6"/>
        <v>3018.2231564875692</v>
      </c>
      <c r="Q22" s="86">
        <f>SUM(Q23:Q24)</f>
        <v>3112.732047094361</v>
      </c>
      <c r="R22" s="86">
        <f t="shared" ref="R22:AL22" si="7">SUM(R23:R24)</f>
        <v>3149.4937606467925</v>
      </c>
      <c r="S22" s="86">
        <f t="shared" si="7"/>
        <v>3066.8291852932562</v>
      </c>
      <c r="T22" s="86">
        <f t="shared" si="7"/>
        <v>3167.5005270223396</v>
      </c>
      <c r="U22" s="86">
        <f t="shared" si="7"/>
        <v>3127.4203105555898</v>
      </c>
      <c r="V22" s="86">
        <f t="shared" si="7"/>
        <v>3060.9066259906567</v>
      </c>
      <c r="W22" s="86">
        <f t="shared" si="7"/>
        <v>3147.0303376748875</v>
      </c>
      <c r="X22" s="86">
        <f t="shared" si="7"/>
        <v>3032.4655276586682</v>
      </c>
      <c r="Y22" s="86">
        <f t="shared" si="7"/>
        <v>3014.6256638838795</v>
      </c>
      <c r="Z22" s="86">
        <f t="shared" si="7"/>
        <v>3000.552070528373</v>
      </c>
      <c r="AA22" s="86">
        <f t="shared" si="7"/>
        <v>2988.2635707707336</v>
      </c>
      <c r="AB22" s="86">
        <f t="shared" si="7"/>
        <v>2968.9679970158159</v>
      </c>
      <c r="AC22" s="86">
        <f t="shared" si="7"/>
        <v>2946.8231327200392</v>
      </c>
      <c r="AD22" s="86">
        <f t="shared" si="7"/>
        <v>2923.229260744667</v>
      </c>
      <c r="AE22" s="86">
        <f t="shared" si="7"/>
        <v>2899.4854812273256</v>
      </c>
      <c r="AF22" s="86">
        <f t="shared" si="7"/>
        <v>2874.9420038138269</v>
      </c>
      <c r="AG22" s="86">
        <f t="shared" si="7"/>
        <v>2850.4050574201742</v>
      </c>
      <c r="AH22" s="86">
        <f t="shared" si="7"/>
        <v>2825.3204360006548</v>
      </c>
      <c r="AI22" s="86">
        <f t="shared" si="7"/>
        <v>2799.463541867246</v>
      </c>
      <c r="AJ22" s="86">
        <f t="shared" si="7"/>
        <v>2773.2196660744248</v>
      </c>
      <c r="AK22" s="86">
        <f t="shared" si="7"/>
        <v>2746.5325962526326</v>
      </c>
      <c r="AL22" s="86">
        <f t="shared" si="7"/>
        <v>2720.1220560833954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3">
      <c r="L23" s="232" t="str">
        <f>'Occ T3'!A25</f>
        <v>41 Administrative occupations</v>
      </c>
      <c r="M23" s="11">
        <v>2338.685856109973</v>
      </c>
      <c r="N23" s="11">
        <v>2357.1875636041091</v>
      </c>
      <c r="O23" s="11">
        <v>2409.7689721780303</v>
      </c>
      <c r="P23" s="11">
        <v>2342.5686313577344</v>
      </c>
      <c r="Q23" s="11">
        <v>2431.3491523472653</v>
      </c>
      <c r="R23" s="11">
        <v>2509.3095493404007</v>
      </c>
      <c r="S23" s="11">
        <v>2454.3293356461022</v>
      </c>
      <c r="T23" s="11">
        <v>2532.8963300499017</v>
      </c>
      <c r="U23" s="11">
        <v>2483.9848850864178</v>
      </c>
      <c r="V23" s="11">
        <v>2472.5923602894604</v>
      </c>
      <c r="W23" s="11">
        <v>2574.3940918239059</v>
      </c>
      <c r="X23" s="11">
        <v>2396.2975608931611</v>
      </c>
      <c r="Y23" s="11">
        <v>2388.5787893377201</v>
      </c>
      <c r="Z23" s="11">
        <v>2384.0679945651486</v>
      </c>
      <c r="AA23" s="11">
        <v>2381.0532695616844</v>
      </c>
      <c r="AB23" s="11">
        <v>2372.2937772534642</v>
      </c>
      <c r="AC23" s="11">
        <v>2361.6437288021471</v>
      </c>
      <c r="AD23" s="11">
        <v>2349.7918018073556</v>
      </c>
      <c r="AE23" s="11">
        <v>2337.7448305586227</v>
      </c>
      <c r="AF23" s="11">
        <v>2325.339376165201</v>
      </c>
      <c r="AG23" s="11">
        <v>2313.4103138731784</v>
      </c>
      <c r="AH23" s="11">
        <v>2300.6572126643096</v>
      </c>
      <c r="AI23" s="11">
        <v>2287.5922519005521</v>
      </c>
      <c r="AJ23" s="11">
        <v>2274.1774813912593</v>
      </c>
      <c r="AK23" s="11">
        <v>2260.5043771579735</v>
      </c>
      <c r="AL23" s="11">
        <v>2246.6551666385835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3">
      <c r="L24" s="232" t="str">
        <f>'Occ T3'!A26</f>
        <v>42 Secretarial and related occupations</v>
      </c>
      <c r="M24" s="11">
        <v>735.01697551531913</v>
      </c>
      <c r="N24" s="11">
        <v>665.97162621013638</v>
      </c>
      <c r="O24" s="11">
        <v>655.65170357382328</v>
      </c>
      <c r="P24" s="11">
        <v>675.65452512983495</v>
      </c>
      <c r="Q24" s="11">
        <v>681.38289474709552</v>
      </c>
      <c r="R24" s="11">
        <v>640.1842113063916</v>
      </c>
      <c r="S24" s="11">
        <v>612.49984964715406</v>
      </c>
      <c r="T24" s="11">
        <v>634.60419697243776</v>
      </c>
      <c r="U24" s="11">
        <v>643.43542546917195</v>
      </c>
      <c r="V24" s="11">
        <v>588.31426570119652</v>
      </c>
      <c r="W24" s="11">
        <v>572.63624585098148</v>
      </c>
      <c r="X24" s="11">
        <v>636.16796676550723</v>
      </c>
      <c r="Y24" s="11">
        <v>626.0468745461593</v>
      </c>
      <c r="Z24" s="11">
        <v>616.4840759632242</v>
      </c>
      <c r="AA24" s="11">
        <v>607.21030120904925</v>
      </c>
      <c r="AB24" s="11">
        <v>596.67421976235141</v>
      </c>
      <c r="AC24" s="11">
        <v>585.17940391789193</v>
      </c>
      <c r="AD24" s="11">
        <v>573.43745893731125</v>
      </c>
      <c r="AE24" s="11">
        <v>561.74065066870298</v>
      </c>
      <c r="AF24" s="11">
        <v>549.60262764862568</v>
      </c>
      <c r="AG24" s="11">
        <v>536.99474354699566</v>
      </c>
      <c r="AH24" s="11">
        <v>524.66322333634514</v>
      </c>
      <c r="AI24" s="11">
        <v>511.87128996669384</v>
      </c>
      <c r="AJ24" s="11">
        <v>499.04218468316543</v>
      </c>
      <c r="AK24" s="11">
        <v>486.02821909465922</v>
      </c>
      <c r="AL24" s="11">
        <v>473.46688944481207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3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3">
      <c r="L26" s="16" t="str">
        <f>'Occ T3'!A28</f>
        <v>Skilled trades occupations</v>
      </c>
      <c r="M26" s="86">
        <f t="shared" ref="M26:P26" si="8">SUM(M27:M30)</f>
        <v>2717.1847724779168</v>
      </c>
      <c r="N26" s="86">
        <f t="shared" si="8"/>
        <v>2696.3239840295328</v>
      </c>
      <c r="O26" s="86">
        <f t="shared" si="8"/>
        <v>2685.8942692459532</v>
      </c>
      <c r="P26" s="86">
        <f t="shared" si="8"/>
        <v>2701.6876685252873</v>
      </c>
      <c r="Q26" s="86">
        <f>SUM(Q27:Q30)</f>
        <v>2849.286809361256</v>
      </c>
      <c r="R26" s="86">
        <f t="shared" ref="R26:AL26" si="9">SUM(R27:R30)</f>
        <v>2889.6909563037434</v>
      </c>
      <c r="S26" s="86">
        <f t="shared" si="9"/>
        <v>2843.9148778728741</v>
      </c>
      <c r="T26" s="86">
        <f t="shared" si="9"/>
        <v>2867.9784983565924</v>
      </c>
      <c r="U26" s="86">
        <f>SUM(U27:U30)</f>
        <v>2766.1238960753235</v>
      </c>
      <c r="V26" s="86">
        <f t="shared" si="9"/>
        <v>2850.7714544337691</v>
      </c>
      <c r="W26" s="86">
        <f t="shared" si="9"/>
        <v>2510.2782475953591</v>
      </c>
      <c r="X26" s="86">
        <f t="shared" si="9"/>
        <v>2553.4492322286096</v>
      </c>
      <c r="Y26" s="86">
        <f t="shared" si="9"/>
        <v>2549.24814825257</v>
      </c>
      <c r="Z26" s="86">
        <f t="shared" si="9"/>
        <v>2553.2576345613443</v>
      </c>
      <c r="AA26" s="86">
        <f t="shared" si="9"/>
        <v>2557.7545819227225</v>
      </c>
      <c r="AB26" s="86">
        <f t="shared" si="9"/>
        <v>2554.2376173672178</v>
      </c>
      <c r="AC26" s="86">
        <f t="shared" si="9"/>
        <v>2549.1496598952281</v>
      </c>
      <c r="AD26" s="86">
        <f t="shared" si="9"/>
        <v>2542.8954402625322</v>
      </c>
      <c r="AE26" s="86">
        <f t="shared" si="9"/>
        <v>2536.476436280399</v>
      </c>
      <c r="AF26" s="86">
        <f t="shared" si="9"/>
        <v>2529.9128018152524</v>
      </c>
      <c r="AG26" s="86">
        <f t="shared" si="9"/>
        <v>2524.3705579416956</v>
      </c>
      <c r="AH26" s="86">
        <f t="shared" si="9"/>
        <v>2518.5092396602536</v>
      </c>
      <c r="AI26" s="86">
        <f t="shared" si="9"/>
        <v>2512.5438189654983</v>
      </c>
      <c r="AJ26" s="86">
        <f t="shared" si="9"/>
        <v>2506.5490755226715</v>
      </c>
      <c r="AK26" s="86">
        <f t="shared" si="9"/>
        <v>2500.3412395411979</v>
      </c>
      <c r="AL26" s="86">
        <f t="shared" si="9"/>
        <v>2494.1382265499906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3">
      <c r="L27" s="232" t="str">
        <f>'Occ T3'!A29</f>
        <v>51 Skilled agricultural and related trades</v>
      </c>
      <c r="M27" s="11">
        <v>272.36462616285922</v>
      </c>
      <c r="N27" s="11">
        <v>276.5285613635557</v>
      </c>
      <c r="O27" s="11">
        <v>289.60161378682659</v>
      </c>
      <c r="P27" s="11">
        <v>267.76720721228526</v>
      </c>
      <c r="Q27" s="11">
        <v>299.67659857213431</v>
      </c>
      <c r="R27" s="11">
        <v>298.83864607965563</v>
      </c>
      <c r="S27" s="11">
        <v>294.20827280605909</v>
      </c>
      <c r="T27" s="11">
        <v>272.68968976846509</v>
      </c>
      <c r="U27" s="11">
        <v>277.13467958454407</v>
      </c>
      <c r="V27" s="11">
        <v>302.26783410806149</v>
      </c>
      <c r="W27" s="11">
        <v>271.23814466195341</v>
      </c>
      <c r="X27" s="11">
        <v>264.23042261180916</v>
      </c>
      <c r="Y27" s="11">
        <v>266.65454931555502</v>
      </c>
      <c r="Z27" s="11">
        <v>270.62247218310847</v>
      </c>
      <c r="AA27" s="11">
        <v>274.83977322347835</v>
      </c>
      <c r="AB27" s="11">
        <v>278.07886381464004</v>
      </c>
      <c r="AC27" s="11">
        <v>281.11018066637075</v>
      </c>
      <c r="AD27" s="11">
        <v>284.01814921341213</v>
      </c>
      <c r="AE27" s="11">
        <v>286.91608387520768</v>
      </c>
      <c r="AF27" s="11">
        <v>289.82164312106738</v>
      </c>
      <c r="AG27" s="11">
        <v>292.92825542455887</v>
      </c>
      <c r="AH27" s="11">
        <v>296.08298433632854</v>
      </c>
      <c r="AI27" s="11">
        <v>299.31098865447552</v>
      </c>
      <c r="AJ27" s="11">
        <v>302.60940943747005</v>
      </c>
      <c r="AK27" s="11">
        <v>305.93042392259275</v>
      </c>
      <c r="AL27" s="11">
        <v>309.33559436851789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3">
      <c r="L28" s="232" t="str">
        <f>'Occ T3'!A30</f>
        <v>52 Skilled metal, electrical and electronic trades</v>
      </c>
      <c r="M28" s="11">
        <v>956.58713840807025</v>
      </c>
      <c r="N28" s="11">
        <v>987.12234980688072</v>
      </c>
      <c r="O28" s="11">
        <v>943.79743690778764</v>
      </c>
      <c r="P28" s="11">
        <v>970.16459034653974</v>
      </c>
      <c r="Q28" s="11">
        <v>1034.798173876</v>
      </c>
      <c r="R28" s="11">
        <v>1042.1574658136535</v>
      </c>
      <c r="S28" s="11">
        <v>1033.7295314702703</v>
      </c>
      <c r="T28" s="11">
        <v>1026.5369998899059</v>
      </c>
      <c r="U28" s="11">
        <v>1011.5259150308284</v>
      </c>
      <c r="V28" s="11">
        <v>1064.18444026626</v>
      </c>
      <c r="W28" s="11">
        <v>926.35566763503004</v>
      </c>
      <c r="X28" s="11">
        <v>932.54148348447461</v>
      </c>
      <c r="Y28" s="11">
        <v>928.80724047213857</v>
      </c>
      <c r="Z28" s="11">
        <v>927.20064077556367</v>
      </c>
      <c r="AA28" s="11">
        <v>925.787538272093</v>
      </c>
      <c r="AB28" s="11">
        <v>921.75387247782987</v>
      </c>
      <c r="AC28" s="11">
        <v>917.07608290020335</v>
      </c>
      <c r="AD28" s="11">
        <v>911.92197883312781</v>
      </c>
      <c r="AE28" s="11">
        <v>906.82718408143535</v>
      </c>
      <c r="AF28" s="11">
        <v>901.72667303610478</v>
      </c>
      <c r="AG28" s="11">
        <v>897.0096778075133</v>
      </c>
      <c r="AH28" s="11">
        <v>892.17944401859984</v>
      </c>
      <c r="AI28" s="11">
        <v>887.36079543970482</v>
      </c>
      <c r="AJ28" s="11">
        <v>882.49659516158511</v>
      </c>
      <c r="AK28" s="11">
        <v>877.59949263317958</v>
      </c>
      <c r="AL28" s="11">
        <v>872.67621532730266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3">
      <c r="L29" s="232" t="str">
        <f>'Occ T3'!A31</f>
        <v>53 Skilled construction and building trades</v>
      </c>
      <c r="M29" s="11">
        <v>938.13188245990659</v>
      </c>
      <c r="N29" s="11">
        <v>881.51071142575029</v>
      </c>
      <c r="O29" s="11">
        <v>861.75915400978863</v>
      </c>
      <c r="P29" s="11">
        <v>879.34579674166184</v>
      </c>
      <c r="Q29" s="11">
        <v>899.71941068058038</v>
      </c>
      <c r="R29" s="11">
        <v>918.22690874959676</v>
      </c>
      <c r="S29" s="11">
        <v>891.63828195775443</v>
      </c>
      <c r="T29" s="11">
        <v>932.75593137018279</v>
      </c>
      <c r="U29" s="11">
        <v>871.87258966697107</v>
      </c>
      <c r="V29" s="11">
        <v>907.39739905518638</v>
      </c>
      <c r="W29" s="11">
        <v>767.57313691964396</v>
      </c>
      <c r="X29" s="11">
        <v>817.2582456723004</v>
      </c>
      <c r="Y29" s="11">
        <v>813.44211847987526</v>
      </c>
      <c r="Z29" s="11">
        <v>813.11317930017833</v>
      </c>
      <c r="AA29" s="11">
        <v>812.66788809311947</v>
      </c>
      <c r="AB29" s="11">
        <v>809.08762001601656</v>
      </c>
      <c r="AC29" s="11">
        <v>804.95602340798223</v>
      </c>
      <c r="AD29" s="11">
        <v>800.44524453254905</v>
      </c>
      <c r="AE29" s="11">
        <v>795.85764483455057</v>
      </c>
      <c r="AF29" s="11">
        <v>791.11187943714367</v>
      </c>
      <c r="AG29" s="11">
        <v>786.63704615107542</v>
      </c>
      <c r="AH29" s="11">
        <v>782.05331087841307</v>
      </c>
      <c r="AI29" s="11">
        <v>777.43396039527397</v>
      </c>
      <c r="AJ29" s="11">
        <v>772.78850862946967</v>
      </c>
      <c r="AK29" s="11">
        <v>768.04829713763695</v>
      </c>
      <c r="AL29" s="11">
        <v>763.22944153326262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3">
      <c r="L30" s="232" t="str">
        <f>'Occ T3'!A32</f>
        <v>54 Textiles, printing and other skilled trades</v>
      </c>
      <c r="M30" s="11">
        <v>550.10112544708079</v>
      </c>
      <c r="N30" s="11">
        <v>551.16236143334606</v>
      </c>
      <c r="O30" s="11">
        <v>590.73606454154992</v>
      </c>
      <c r="P30" s="11">
        <v>584.41007422480027</v>
      </c>
      <c r="Q30" s="11">
        <v>615.09262623254176</v>
      </c>
      <c r="R30" s="11">
        <v>630.46793566083784</v>
      </c>
      <c r="S30" s="11">
        <v>624.33879163878987</v>
      </c>
      <c r="T30" s="11">
        <v>635.99587732803877</v>
      </c>
      <c r="U30" s="11">
        <v>605.5907117929803</v>
      </c>
      <c r="V30" s="11">
        <v>576.92178100426145</v>
      </c>
      <c r="W30" s="11">
        <v>545.11129837873182</v>
      </c>
      <c r="X30" s="11">
        <v>539.4190804600255</v>
      </c>
      <c r="Y30" s="11">
        <v>540.3442399850012</v>
      </c>
      <c r="Z30" s="11">
        <v>542.3213423024938</v>
      </c>
      <c r="AA30" s="11">
        <v>544.45938233403172</v>
      </c>
      <c r="AB30" s="11">
        <v>545.31726105873133</v>
      </c>
      <c r="AC30" s="11">
        <v>546.00737292067163</v>
      </c>
      <c r="AD30" s="11">
        <v>546.51006768344291</v>
      </c>
      <c r="AE30" s="11">
        <v>546.87552348920565</v>
      </c>
      <c r="AF30" s="11">
        <v>547.25260622093674</v>
      </c>
      <c r="AG30" s="11">
        <v>547.7955785585475</v>
      </c>
      <c r="AH30" s="11">
        <v>548.19350042691212</v>
      </c>
      <c r="AI30" s="11">
        <v>548.43807447604388</v>
      </c>
      <c r="AJ30" s="11">
        <v>548.65456229414656</v>
      </c>
      <c r="AK30" s="11">
        <v>548.76302584778841</v>
      </c>
      <c r="AL30" s="11">
        <v>548.89697532090725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3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3">
      <c r="L32" s="16" t="str">
        <f>'Occ T3'!A34</f>
        <v>Caring, leisure and other service occupations</v>
      </c>
      <c r="M32" s="86">
        <f>SUM(M33:M35)</f>
        <v>2507.9931886998547</v>
      </c>
      <c r="N32" s="86">
        <f t="shared" ref="N32:AL32" si="10">SUM(N33:N35)</f>
        <v>2434.3725801091136</v>
      </c>
      <c r="O32" s="86">
        <f t="shared" si="10"/>
        <v>2458.1902894290465</v>
      </c>
      <c r="P32" s="86">
        <f t="shared" si="10"/>
        <v>2518.7970046549699</v>
      </c>
      <c r="Q32" s="86">
        <f t="shared" si="10"/>
        <v>2631.065016807092</v>
      </c>
      <c r="R32" s="86">
        <f t="shared" si="10"/>
        <v>2686.476945366268</v>
      </c>
      <c r="S32" s="86">
        <f t="shared" si="10"/>
        <v>2765.9673059352681</v>
      </c>
      <c r="T32" s="86">
        <f t="shared" si="10"/>
        <v>2764.7207813763571</v>
      </c>
      <c r="U32" s="86">
        <f t="shared" si="10"/>
        <v>2705.2417741537793</v>
      </c>
      <c r="V32" s="86">
        <f t="shared" si="10"/>
        <v>2794.9761350106005</v>
      </c>
      <c r="W32" s="86">
        <f t="shared" si="10"/>
        <v>2683.1938804533893</v>
      </c>
      <c r="X32" s="86">
        <f t="shared" si="10"/>
        <v>2761.2424928887531</v>
      </c>
      <c r="Y32" s="86">
        <f t="shared" si="10"/>
        <v>2784.8092738547907</v>
      </c>
      <c r="Z32" s="86">
        <f t="shared" si="10"/>
        <v>2813.1952298991528</v>
      </c>
      <c r="AA32" s="86">
        <f t="shared" si="10"/>
        <v>2844.3123937828123</v>
      </c>
      <c r="AB32" s="86">
        <f t="shared" si="10"/>
        <v>2869.9409146651319</v>
      </c>
      <c r="AC32" s="86">
        <f t="shared" si="10"/>
        <v>2893.4109086002841</v>
      </c>
      <c r="AD32" s="86">
        <f t="shared" si="10"/>
        <v>2915.9011867858576</v>
      </c>
      <c r="AE32" s="86">
        <f t="shared" si="10"/>
        <v>2938.2731204241359</v>
      </c>
      <c r="AF32" s="86">
        <f t="shared" si="10"/>
        <v>2960.7923129349451</v>
      </c>
      <c r="AG32" s="86">
        <f t="shared" si="10"/>
        <v>2984.3250650609289</v>
      </c>
      <c r="AH32" s="86">
        <f t="shared" si="10"/>
        <v>3007.831026059398</v>
      </c>
      <c r="AI32" s="86">
        <f t="shared" si="10"/>
        <v>3031.5681858601843</v>
      </c>
      <c r="AJ32" s="86">
        <f t="shared" si="10"/>
        <v>3055.6765989954679</v>
      </c>
      <c r="AK32" s="86">
        <f t="shared" si="10"/>
        <v>3079.8409868969161</v>
      </c>
      <c r="AL32" s="86">
        <f t="shared" si="10"/>
        <v>3104.1211527286227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3">
      <c r="L33" s="232" t="str">
        <f>'Occ T3'!A35</f>
        <v>61 Caring personal service occupations</v>
      </c>
      <c r="M33" s="11">
        <v>1904.2055424187272</v>
      </c>
      <c r="N33" s="11">
        <v>1804.4425698953073</v>
      </c>
      <c r="O33" s="11">
        <v>1834.2324888785818</v>
      </c>
      <c r="P33" s="11">
        <v>1890.2371092384915</v>
      </c>
      <c r="Q33" s="11">
        <v>1987.5054156630765</v>
      </c>
      <c r="R33" s="11">
        <v>2030.2468142039761</v>
      </c>
      <c r="S33" s="11">
        <v>2102.9162908031194</v>
      </c>
      <c r="T33" s="11">
        <v>2099.156643062709</v>
      </c>
      <c r="U33" s="11">
        <v>2050.2313139141224</v>
      </c>
      <c r="V33" s="11">
        <v>2089.805287791341</v>
      </c>
      <c r="W33" s="11">
        <v>2025.984443266439</v>
      </c>
      <c r="X33" s="11">
        <v>2111.4736004985243</v>
      </c>
      <c r="Y33" s="11">
        <v>2132.4413952200102</v>
      </c>
      <c r="Z33" s="11">
        <v>2156.6640902239819</v>
      </c>
      <c r="AA33" s="11">
        <v>2183.0215809827846</v>
      </c>
      <c r="AB33" s="11">
        <v>2205.3352260260999</v>
      </c>
      <c r="AC33" s="11">
        <v>2226.0231841089694</v>
      </c>
      <c r="AD33" s="11">
        <v>2245.9805606259843</v>
      </c>
      <c r="AE33" s="11">
        <v>2265.8537435172329</v>
      </c>
      <c r="AF33" s="11">
        <v>2285.9369966688628</v>
      </c>
      <c r="AG33" s="11">
        <v>2306.9053203301892</v>
      </c>
      <c r="AH33" s="11">
        <v>2327.983183006032</v>
      </c>
      <c r="AI33" s="11">
        <v>2349.2602366841998</v>
      </c>
      <c r="AJ33" s="11">
        <v>2370.8159936110292</v>
      </c>
      <c r="AK33" s="11">
        <v>2392.4794974979627</v>
      </c>
      <c r="AL33" s="11">
        <v>2414.2517515389786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3">
      <c r="L34" s="232" t="str">
        <f>'Occ T3'!A36</f>
        <v>62 Leisure, travel and related personal service occupations</v>
      </c>
      <c r="M34" s="11">
        <v>561.35180187808783</v>
      </c>
      <c r="N34" s="11">
        <v>599.7498772823476</v>
      </c>
      <c r="O34" s="11">
        <v>594.40068781224954</v>
      </c>
      <c r="P34" s="11">
        <v>601.9024709841409</v>
      </c>
      <c r="Q34" s="11">
        <v>612.88392643500515</v>
      </c>
      <c r="R34" s="11">
        <v>627.38990653790802</v>
      </c>
      <c r="S34" s="11">
        <v>638.32170595881109</v>
      </c>
      <c r="T34" s="11">
        <v>639.25063523252959</v>
      </c>
      <c r="U34" s="11">
        <v>628.01382463755147</v>
      </c>
      <c r="V34" s="11">
        <v>680.2954268390763</v>
      </c>
      <c r="W34" s="11">
        <v>625.46697377789098</v>
      </c>
      <c r="X34" s="11">
        <v>625.08347567615408</v>
      </c>
      <c r="Y34" s="11">
        <v>627.42057160715808</v>
      </c>
      <c r="Z34" s="11">
        <v>631.29830230207779</v>
      </c>
      <c r="AA34" s="11">
        <v>635.75554223644747</v>
      </c>
      <c r="AB34" s="11">
        <v>638.83622897159728</v>
      </c>
      <c r="AC34" s="11">
        <v>641.4090948009341</v>
      </c>
      <c r="AD34" s="11">
        <v>643.74571901760908</v>
      </c>
      <c r="AE34" s="11">
        <v>646.04916251570603</v>
      </c>
      <c r="AF34" s="11">
        <v>648.27988661162306</v>
      </c>
      <c r="AG34" s="11">
        <v>650.63429472313965</v>
      </c>
      <c r="AH34" s="11">
        <v>652.85502300064377</v>
      </c>
      <c r="AI34" s="11">
        <v>655.11240806758326</v>
      </c>
      <c r="AJ34" s="11">
        <v>657.45020634453886</v>
      </c>
      <c r="AK34" s="11">
        <v>659.74837747136155</v>
      </c>
      <c r="AL34" s="11">
        <v>662.04991372339862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3">
      <c r="L35" s="232" t="str">
        <f>'Occ T3'!A37</f>
        <v>63 Community and civil enforcement occupations</v>
      </c>
      <c r="M35" s="11">
        <v>42.435844403039255</v>
      </c>
      <c r="N35" s="11">
        <v>30.180132931459131</v>
      </c>
      <c r="O35" s="11">
        <v>29.557112738215093</v>
      </c>
      <c r="P35" s="11">
        <v>26.657424432337411</v>
      </c>
      <c r="Q35" s="11">
        <v>30.675674709010476</v>
      </c>
      <c r="R35" s="11">
        <v>28.840224624383744</v>
      </c>
      <c r="S35" s="11">
        <v>24.729309173337757</v>
      </c>
      <c r="T35" s="11">
        <v>26.313503081118629</v>
      </c>
      <c r="U35" s="11">
        <v>26.996635602105446</v>
      </c>
      <c r="V35" s="11">
        <v>24.87542038018313</v>
      </c>
      <c r="W35" s="11">
        <v>31.742463409059319</v>
      </c>
      <c r="X35" s="11">
        <v>24.685416714074432</v>
      </c>
      <c r="Y35" s="11">
        <v>24.947307027622283</v>
      </c>
      <c r="Z35" s="11">
        <v>25.232837373092774</v>
      </c>
      <c r="AA35" s="11">
        <v>25.535270563579992</v>
      </c>
      <c r="AB35" s="11">
        <v>25.76945966743477</v>
      </c>
      <c r="AC35" s="11">
        <v>25.97862969038092</v>
      </c>
      <c r="AD35" s="11">
        <v>26.174907142264235</v>
      </c>
      <c r="AE35" s="11">
        <v>26.370214391196807</v>
      </c>
      <c r="AF35" s="11">
        <v>26.575429654458961</v>
      </c>
      <c r="AG35" s="11">
        <v>26.785450007600087</v>
      </c>
      <c r="AH35" s="11">
        <v>26.992820052721992</v>
      </c>
      <c r="AI35" s="11">
        <v>27.195541108401549</v>
      </c>
      <c r="AJ35" s="11">
        <v>27.410399039900046</v>
      </c>
      <c r="AK35" s="11">
        <v>27.61311192759182</v>
      </c>
      <c r="AL35" s="11">
        <v>27.819487466245615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3">
      <c r="L37" s="16" t="str">
        <f>'Occ T3'!A39</f>
        <v>Sales and customer service occupations</v>
      </c>
      <c r="M37" s="86">
        <f t="shared" ref="M37:P37" si="11">SUM(M38:M39)</f>
        <v>2229.4944453328212</v>
      </c>
      <c r="N37" s="86">
        <f t="shared" si="11"/>
        <v>2345.7276527371537</v>
      </c>
      <c r="O37" s="86">
        <f t="shared" si="11"/>
        <v>2438.7847576373715</v>
      </c>
      <c r="P37" s="86">
        <f t="shared" si="11"/>
        <v>2382.7298681666784</v>
      </c>
      <c r="Q37" s="86">
        <f>SUM(Q38:Q39)</f>
        <v>2427.5773177208252</v>
      </c>
      <c r="R37" s="86">
        <f t="shared" ref="R37:AL37" si="12">SUM(R38:R39)</f>
        <v>2451.7146582710288</v>
      </c>
      <c r="S37" s="86">
        <f t="shared" si="12"/>
        <v>2483.8089515373349</v>
      </c>
      <c r="T37" s="86">
        <f t="shared" si="12"/>
        <v>2458.898321193738</v>
      </c>
      <c r="U37" s="86">
        <f t="shared" si="12"/>
        <v>2428.504132294684</v>
      </c>
      <c r="V37" s="86">
        <f t="shared" si="12"/>
        <v>2391.0620840559268</v>
      </c>
      <c r="W37" s="86">
        <f t="shared" si="12"/>
        <v>2362.3332816348438</v>
      </c>
      <c r="X37" s="86">
        <f t="shared" si="12"/>
        <v>2351.1336687667331</v>
      </c>
      <c r="Y37" s="86">
        <f t="shared" si="12"/>
        <v>2355.4658005247702</v>
      </c>
      <c r="Z37" s="86">
        <f t="shared" si="12"/>
        <v>2364.0069535970097</v>
      </c>
      <c r="AA37" s="86">
        <f t="shared" si="12"/>
        <v>2374.2405052764288</v>
      </c>
      <c r="AB37" s="86">
        <f t="shared" si="12"/>
        <v>2379.1398631656634</v>
      </c>
      <c r="AC37" s="86">
        <f t="shared" si="12"/>
        <v>2381.8206967951428</v>
      </c>
      <c r="AD37" s="86">
        <f t="shared" si="12"/>
        <v>2383.352766465865</v>
      </c>
      <c r="AE37" s="86">
        <f t="shared" si="12"/>
        <v>2384.4375702694006</v>
      </c>
      <c r="AF37" s="86">
        <f t="shared" si="12"/>
        <v>2385.2593131461635</v>
      </c>
      <c r="AG37" s="86">
        <f t="shared" si="12"/>
        <v>2386.2602708685226</v>
      </c>
      <c r="AH37" s="86">
        <f t="shared" si="12"/>
        <v>2386.9788531542281</v>
      </c>
      <c r="AI37" s="86">
        <f t="shared" si="12"/>
        <v>2387.6435566940841</v>
      </c>
      <c r="AJ37" s="86">
        <f t="shared" si="12"/>
        <v>2388.2059198440029</v>
      </c>
      <c r="AK37" s="86">
        <f t="shared" si="12"/>
        <v>2388.5437178446155</v>
      </c>
      <c r="AL37" s="86">
        <f t="shared" si="12"/>
        <v>2388.7952867984582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3">
      <c r="L38" s="232" t="str">
        <f>'Occ T3'!A40</f>
        <v>71 Sales occupations</v>
      </c>
      <c r="M38" s="11">
        <v>1811.7334076736115</v>
      </c>
      <c r="N38" s="11">
        <v>1929.0111507508202</v>
      </c>
      <c r="O38" s="11">
        <v>2012.886983707881</v>
      </c>
      <c r="P38" s="11">
        <v>1957.0819400606053</v>
      </c>
      <c r="Q38" s="11">
        <v>2012.0162908426332</v>
      </c>
      <c r="R38" s="11">
        <v>1992.1189392123579</v>
      </c>
      <c r="S38" s="11">
        <v>2033.2024098330298</v>
      </c>
      <c r="T38" s="11">
        <v>1967.2831418134047</v>
      </c>
      <c r="U38" s="11">
        <v>1923.3853865815613</v>
      </c>
      <c r="V38" s="11">
        <v>1892.2329930164867</v>
      </c>
      <c r="W38" s="11">
        <v>1852.3067229280093</v>
      </c>
      <c r="X38" s="11">
        <v>1735.5527930151743</v>
      </c>
      <c r="Y38" s="11">
        <v>1730.306023858936</v>
      </c>
      <c r="Z38" s="11">
        <v>1728.2442674555045</v>
      </c>
      <c r="AA38" s="11">
        <v>1727.3488443136046</v>
      </c>
      <c r="AB38" s="11">
        <v>1722.4810841858018</v>
      </c>
      <c r="AC38" s="11">
        <v>1715.8528951582757</v>
      </c>
      <c r="AD38" s="11">
        <v>1708.3385275221654</v>
      </c>
      <c r="AE38" s="11">
        <v>1700.35223515653</v>
      </c>
      <c r="AF38" s="11">
        <v>1692.0735509763681</v>
      </c>
      <c r="AG38" s="11">
        <v>1683.6781205292818</v>
      </c>
      <c r="AH38" s="11">
        <v>1675.0356624122787</v>
      </c>
      <c r="AI38" s="11">
        <v>1666.283799945772</v>
      </c>
      <c r="AJ38" s="11">
        <v>1657.3678804975743</v>
      </c>
      <c r="AK38" s="11">
        <v>1648.1566432396985</v>
      </c>
      <c r="AL38" s="11">
        <v>1638.8493200669641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3">
      <c r="L39" s="232" t="str">
        <f>'Occ T3'!A41</f>
        <v>72 Customer service occupations</v>
      </c>
      <c r="M39" s="11">
        <v>417.76103765920965</v>
      </c>
      <c r="N39" s="11">
        <v>416.71650198633341</v>
      </c>
      <c r="O39" s="11">
        <v>425.89777392949043</v>
      </c>
      <c r="P39" s="11">
        <v>425.6479281060731</v>
      </c>
      <c r="Q39" s="11">
        <v>415.56102687819202</v>
      </c>
      <c r="R39" s="11">
        <v>459.59571905867102</v>
      </c>
      <c r="S39" s="11">
        <v>450.60654170430502</v>
      </c>
      <c r="T39" s="11">
        <v>491.61517938033342</v>
      </c>
      <c r="U39" s="11">
        <v>505.11874571312268</v>
      </c>
      <c r="V39" s="11">
        <v>498.82909103944002</v>
      </c>
      <c r="W39" s="11">
        <v>510.02655870683429</v>
      </c>
      <c r="X39" s="11">
        <v>615.58087575155889</v>
      </c>
      <c r="Y39" s="11">
        <v>625.1597766658341</v>
      </c>
      <c r="Z39" s="11">
        <v>635.76268614150513</v>
      </c>
      <c r="AA39" s="11">
        <v>646.89166096282418</v>
      </c>
      <c r="AB39" s="11">
        <v>656.65877897986149</v>
      </c>
      <c r="AC39" s="11">
        <v>665.96780163686697</v>
      </c>
      <c r="AD39" s="11">
        <v>675.01423894369987</v>
      </c>
      <c r="AE39" s="11">
        <v>684.08533511287033</v>
      </c>
      <c r="AF39" s="11">
        <v>693.18576216979534</v>
      </c>
      <c r="AG39" s="11">
        <v>702.58215033924057</v>
      </c>
      <c r="AH39" s="11">
        <v>711.94319074194937</v>
      </c>
      <c r="AI39" s="11">
        <v>721.35975674831218</v>
      </c>
      <c r="AJ39" s="11">
        <v>730.83803934642856</v>
      </c>
      <c r="AK39" s="11">
        <v>740.38707460491719</v>
      </c>
      <c r="AL39" s="11">
        <v>749.94596673149408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3">
      <c r="L41" s="16" t="str">
        <f>'Occ T3'!A43</f>
        <v>Process, plant and machine operatives</v>
      </c>
      <c r="M41" s="86">
        <f t="shared" ref="M41:P41" si="13">SUM(M42:M43)</f>
        <v>1701.6244886384293</v>
      </c>
      <c r="N41" s="86">
        <f t="shared" si="13"/>
        <v>1665.961261182671</v>
      </c>
      <c r="O41" s="86">
        <f t="shared" si="13"/>
        <v>1664.6006004656247</v>
      </c>
      <c r="P41" s="86">
        <f t="shared" si="13"/>
        <v>1678.7128510332534</v>
      </c>
      <c r="Q41" s="86">
        <f>SUM(Q42:Q43)</f>
        <v>1749.8386559194137</v>
      </c>
      <c r="R41" s="86">
        <f t="shared" ref="R41:AL41" si="14">SUM(R42:R43)</f>
        <v>1767.3257043641233</v>
      </c>
      <c r="S41" s="86">
        <f t="shared" si="14"/>
        <v>1849.6771931393055</v>
      </c>
      <c r="T41" s="86">
        <f t="shared" si="14"/>
        <v>1862.1854166816645</v>
      </c>
      <c r="U41" s="86">
        <f t="shared" si="14"/>
        <v>1899.0530119940054</v>
      </c>
      <c r="V41" s="86">
        <f t="shared" si="14"/>
        <v>1870.5480838882245</v>
      </c>
      <c r="W41" s="86">
        <f t="shared" si="14"/>
        <v>1662.1375442945014</v>
      </c>
      <c r="X41" s="86">
        <f t="shared" si="14"/>
        <v>1858.667137681759</v>
      </c>
      <c r="Y41" s="86">
        <f t="shared" si="14"/>
        <v>1858.4139273297365</v>
      </c>
      <c r="Z41" s="86">
        <f t="shared" si="14"/>
        <v>1862.8192574988657</v>
      </c>
      <c r="AA41" s="86">
        <f t="shared" si="14"/>
        <v>1867.7515232698506</v>
      </c>
      <c r="AB41" s="86">
        <f t="shared" si="14"/>
        <v>1867.9319690347922</v>
      </c>
      <c r="AC41" s="86">
        <f t="shared" si="14"/>
        <v>1866.8535741401711</v>
      </c>
      <c r="AD41" s="86">
        <f t="shared" si="14"/>
        <v>1864.8536549352887</v>
      </c>
      <c r="AE41" s="86">
        <f t="shared" si="14"/>
        <v>1862.8469280879181</v>
      </c>
      <c r="AF41" s="86">
        <f t="shared" si="14"/>
        <v>1860.7847101884995</v>
      </c>
      <c r="AG41" s="86">
        <f t="shared" si="14"/>
        <v>1859.4811490298905</v>
      </c>
      <c r="AH41" s="86">
        <f t="shared" si="14"/>
        <v>1858.0165306112958</v>
      </c>
      <c r="AI41" s="86">
        <f t="shared" si="14"/>
        <v>1856.5317302758308</v>
      </c>
      <c r="AJ41" s="86">
        <f t="shared" si="14"/>
        <v>1855.1323182770107</v>
      </c>
      <c r="AK41" s="86">
        <f t="shared" si="14"/>
        <v>1853.5809008946585</v>
      </c>
      <c r="AL41" s="86">
        <f t="shared" si="14"/>
        <v>1852.0872704524211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3">
      <c r="L42" s="232" t="str">
        <f>'Occ T3'!A44</f>
        <v>81 Process, plant and machine operatives</v>
      </c>
      <c r="M42" s="11">
        <v>687.57735464066286</v>
      </c>
      <c r="N42" s="11">
        <v>647.84910362587334</v>
      </c>
      <c r="O42" s="11">
        <v>662.7359427825661</v>
      </c>
      <c r="P42" s="11">
        <v>686.75097867425961</v>
      </c>
      <c r="Q42" s="11">
        <v>702.08993742514451</v>
      </c>
      <c r="R42" s="11">
        <v>713.31333030825101</v>
      </c>
      <c r="S42" s="11">
        <v>706.65120621801759</v>
      </c>
      <c r="T42" s="11">
        <v>730.50376714971117</v>
      </c>
      <c r="U42" s="11">
        <v>733.80339743221259</v>
      </c>
      <c r="V42" s="11">
        <v>691.72064265695496</v>
      </c>
      <c r="W42" s="11">
        <v>607.28189366049708</v>
      </c>
      <c r="X42" s="11">
        <v>731.21773432809562</v>
      </c>
      <c r="Y42" s="11">
        <v>730.0422468215894</v>
      </c>
      <c r="Z42" s="11">
        <v>730.83019329926606</v>
      </c>
      <c r="AA42" s="11">
        <v>731.74659927948164</v>
      </c>
      <c r="AB42" s="11">
        <v>731.01802160684156</v>
      </c>
      <c r="AC42" s="11">
        <v>729.82062226626306</v>
      </c>
      <c r="AD42" s="11">
        <v>728.18562169268421</v>
      </c>
      <c r="AE42" s="11">
        <v>726.50963452464123</v>
      </c>
      <c r="AF42" s="11">
        <v>724.83299807428443</v>
      </c>
      <c r="AG42" s="11">
        <v>723.44087810676092</v>
      </c>
      <c r="AH42" s="11">
        <v>722.03902356162314</v>
      </c>
      <c r="AI42" s="11">
        <v>720.60528344509169</v>
      </c>
      <c r="AJ42" s="11">
        <v>719.23814091848169</v>
      </c>
      <c r="AK42" s="11">
        <v>717.7768351393712</v>
      </c>
      <c r="AL42" s="11">
        <v>716.39137017341181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3">
      <c r="L43" s="232" t="str">
        <f>'Occ T3'!A45</f>
        <v>82 Transport and mobile machine drivers and operatives</v>
      </c>
      <c r="M43" s="11">
        <v>1014.0471339977664</v>
      </c>
      <c r="N43" s="11">
        <v>1018.1121575567976</v>
      </c>
      <c r="O43" s="11">
        <v>1001.8646576830585</v>
      </c>
      <c r="P43" s="11">
        <v>991.96187235899379</v>
      </c>
      <c r="Q43" s="11">
        <v>1047.7487184942693</v>
      </c>
      <c r="R43" s="11">
        <v>1054.0123740558722</v>
      </c>
      <c r="S43" s="11">
        <v>1143.0259869212878</v>
      </c>
      <c r="T43" s="11">
        <v>1131.6816495319533</v>
      </c>
      <c r="U43" s="11">
        <v>1165.2496145617927</v>
      </c>
      <c r="V43" s="11">
        <v>1178.8274412312694</v>
      </c>
      <c r="W43" s="11">
        <v>1054.8556506340044</v>
      </c>
      <c r="X43" s="11">
        <v>1127.4494033536632</v>
      </c>
      <c r="Y43" s="11">
        <v>1128.3716805081472</v>
      </c>
      <c r="Z43" s="11">
        <v>1131.9890641995996</v>
      </c>
      <c r="AA43" s="11">
        <v>1136.004923990369</v>
      </c>
      <c r="AB43" s="11">
        <v>1136.9139474279507</v>
      </c>
      <c r="AC43" s="11">
        <v>1137.0329518739081</v>
      </c>
      <c r="AD43" s="11">
        <v>1136.6680332426045</v>
      </c>
      <c r="AE43" s="11">
        <v>1136.3372935632769</v>
      </c>
      <c r="AF43" s="11">
        <v>1135.9517121142151</v>
      </c>
      <c r="AG43" s="11">
        <v>1136.0402709231296</v>
      </c>
      <c r="AH43" s="11">
        <v>1135.9775070496726</v>
      </c>
      <c r="AI43" s="11">
        <v>1135.9264468307392</v>
      </c>
      <c r="AJ43" s="11">
        <v>1135.8941773585291</v>
      </c>
      <c r="AK43" s="11">
        <v>1135.8040657552874</v>
      </c>
      <c r="AL43" s="11">
        <v>1135.6959002790093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3">
      <c r="L45" s="16" t="str">
        <f>'Occ T3'!A47</f>
        <v>Elementary occupations</v>
      </c>
      <c r="M45" s="86">
        <f t="shared" ref="M45:P45" si="15">SUM(M46:M47)</f>
        <v>3174.7815815176359</v>
      </c>
      <c r="N45" s="86">
        <f t="shared" si="15"/>
        <v>3074.9145869127196</v>
      </c>
      <c r="O45" s="86">
        <f t="shared" si="15"/>
        <v>3085.6591535398634</v>
      </c>
      <c r="P45" s="86">
        <f t="shared" si="15"/>
        <v>3097.4155618586692</v>
      </c>
      <c r="Q45" s="86">
        <f>SUM(Q46:Q47)</f>
        <v>3247.8516597920488</v>
      </c>
      <c r="R45" s="86">
        <f t="shared" ref="R45:AL45" si="16">SUM(R46:R47)</f>
        <v>3302.1923629942416</v>
      </c>
      <c r="S45" s="86">
        <f t="shared" si="16"/>
        <v>3303.0061744120762</v>
      </c>
      <c r="T45" s="86">
        <f t="shared" si="16"/>
        <v>3265.690705030966</v>
      </c>
      <c r="U45" s="86">
        <f t="shared" si="16"/>
        <v>3260.4173870363206</v>
      </c>
      <c r="V45" s="86">
        <f t="shared" si="16"/>
        <v>3290.2423965940557</v>
      </c>
      <c r="W45" s="86">
        <f t="shared" si="16"/>
        <v>3001.5109789107441</v>
      </c>
      <c r="X45" s="86">
        <f t="shared" si="16"/>
        <v>3021.8868355113327</v>
      </c>
      <c r="Y45" s="86">
        <f t="shared" si="16"/>
        <v>3015.7884629813002</v>
      </c>
      <c r="Z45" s="86">
        <f t="shared" si="16"/>
        <v>3015.313151687048</v>
      </c>
      <c r="AA45" s="86">
        <f t="shared" si="16"/>
        <v>3016.2243316330805</v>
      </c>
      <c r="AB45" s="86">
        <f t="shared" si="16"/>
        <v>3009.8110450580339</v>
      </c>
      <c r="AC45" s="86">
        <f t="shared" si="16"/>
        <v>3000.6521165536037</v>
      </c>
      <c r="AD45" s="86">
        <f t="shared" si="16"/>
        <v>2989.9396816107455</v>
      </c>
      <c r="AE45" s="86">
        <f t="shared" si="16"/>
        <v>2979.209258090505</v>
      </c>
      <c r="AF45" s="86">
        <f t="shared" si="16"/>
        <v>2968.4662406478114</v>
      </c>
      <c r="AG45" s="86">
        <f t="shared" si="16"/>
        <v>2958.8536651288</v>
      </c>
      <c r="AH45" s="86">
        <f t="shared" si="16"/>
        <v>2948.7088181198133</v>
      </c>
      <c r="AI45" s="86">
        <f t="shared" si="16"/>
        <v>2938.3157295981064</v>
      </c>
      <c r="AJ45" s="86">
        <f t="shared" si="16"/>
        <v>2928.0333038572276</v>
      </c>
      <c r="AK45" s="86">
        <f t="shared" si="16"/>
        <v>2917.5916512581161</v>
      </c>
      <c r="AL45" s="86">
        <f t="shared" si="16"/>
        <v>2907.1002530060523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3">
      <c r="L46" s="232" t="str">
        <f>'Occ T3'!A48</f>
        <v>91 Elementary trades and related occupations</v>
      </c>
      <c r="M46" s="11">
        <v>433.08814299068553</v>
      </c>
      <c r="N46" s="11">
        <v>426.75692509460328</v>
      </c>
      <c r="O46" s="11">
        <v>427.25145870321722</v>
      </c>
      <c r="P46" s="11">
        <v>420.71585122052545</v>
      </c>
      <c r="Q46" s="11">
        <v>461.57597123834557</v>
      </c>
      <c r="R46" s="11">
        <v>475.90883310534315</v>
      </c>
      <c r="S46" s="11">
        <v>481.98011948616465</v>
      </c>
      <c r="T46" s="11">
        <v>446.99517246249388</v>
      </c>
      <c r="U46" s="11">
        <v>447.24278291212977</v>
      </c>
      <c r="V46" s="11">
        <v>428.55047108245543</v>
      </c>
      <c r="W46" s="11">
        <v>381.35221201872946</v>
      </c>
      <c r="X46" s="11">
        <v>325.11864445354047</v>
      </c>
      <c r="Y46" s="11">
        <v>323.69965523370405</v>
      </c>
      <c r="Z46" s="11">
        <v>323.17459602386418</v>
      </c>
      <c r="AA46" s="11">
        <v>322.73306693477019</v>
      </c>
      <c r="AB46" s="11">
        <v>321.40447089613929</v>
      </c>
      <c r="AC46" s="11">
        <v>319.89332380136233</v>
      </c>
      <c r="AD46" s="11">
        <v>318.24745639774028</v>
      </c>
      <c r="AE46" s="11">
        <v>316.6200065017307</v>
      </c>
      <c r="AF46" s="11">
        <v>314.99059798872224</v>
      </c>
      <c r="AG46" s="11">
        <v>313.48665999382945</v>
      </c>
      <c r="AH46" s="11">
        <v>311.87461069408744</v>
      </c>
      <c r="AI46" s="11">
        <v>310.23108501224868</v>
      </c>
      <c r="AJ46" s="11">
        <v>308.57062267926807</v>
      </c>
      <c r="AK46" s="11">
        <v>306.8916733393736</v>
      </c>
      <c r="AL46" s="11">
        <v>305.22320056621066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3">
      <c r="L47" s="232" t="str">
        <f>'Occ T3'!A49</f>
        <v>92 Elementary administration and service occupations</v>
      </c>
      <c r="M47" s="11">
        <v>2741.6934385269506</v>
      </c>
      <c r="N47" s="11">
        <v>2648.1576618181166</v>
      </c>
      <c r="O47" s="11">
        <v>2658.407694836646</v>
      </c>
      <c r="P47" s="11">
        <v>2676.6997106381436</v>
      </c>
      <c r="Q47" s="11">
        <v>2786.2756885537033</v>
      </c>
      <c r="R47" s="11">
        <v>2826.2835298888986</v>
      </c>
      <c r="S47" s="11">
        <v>2821.0260549259115</v>
      </c>
      <c r="T47" s="11">
        <v>2818.6955325684721</v>
      </c>
      <c r="U47" s="11">
        <v>2813.1746041241909</v>
      </c>
      <c r="V47" s="11">
        <v>2861.6919255116004</v>
      </c>
      <c r="W47" s="11">
        <v>2620.1587668920147</v>
      </c>
      <c r="X47" s="11">
        <v>2696.7681910577921</v>
      </c>
      <c r="Y47" s="11">
        <v>2692.0888077475961</v>
      </c>
      <c r="Z47" s="11">
        <v>2692.138555663184</v>
      </c>
      <c r="AA47" s="11">
        <v>2693.4912646983103</v>
      </c>
      <c r="AB47" s="11">
        <v>2688.4065741618947</v>
      </c>
      <c r="AC47" s="11">
        <v>2680.7587927522413</v>
      </c>
      <c r="AD47" s="11">
        <v>2671.6922252130053</v>
      </c>
      <c r="AE47" s="11">
        <v>2662.5892515887745</v>
      </c>
      <c r="AF47" s="11">
        <v>2653.4756426590893</v>
      </c>
      <c r="AG47" s="11">
        <v>2645.3670051349704</v>
      </c>
      <c r="AH47" s="11">
        <v>2636.8342074257257</v>
      </c>
      <c r="AI47" s="11">
        <v>2628.0846445858579</v>
      </c>
      <c r="AJ47" s="11">
        <v>2619.4626811779594</v>
      </c>
      <c r="AK47" s="11">
        <v>2610.6999779187427</v>
      </c>
      <c r="AL47" s="11">
        <v>2601.8770524398415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3">
      <c r="L49" s="16" t="str">
        <f>'Occ T3'!A51</f>
        <v>All occupations</v>
      </c>
      <c r="M49" s="86">
        <f>SUM(M5,M9,M15,M22,M26,M32,M37,M41,M45)</f>
        <v>26471.260999999198</v>
      </c>
      <c r="N49" s="86">
        <f t="shared" ref="N49:P49" si="17">SUM(N5,N9,N15,N22,N26,N32,N37,N41,N45)</f>
        <v>26495.59899999882</v>
      </c>
      <c r="O49" s="86">
        <f t="shared" si="17"/>
        <v>27004.439000000275</v>
      </c>
      <c r="P49" s="86">
        <f t="shared" si="17"/>
        <v>27167.130999998259</v>
      </c>
      <c r="Q49" s="86">
        <f>SUM(Q5,Q9,Q15,Q22,Q26,Q32,Q37,Q41,Q45)</f>
        <v>28227.370999996943</v>
      </c>
      <c r="R49" s="86">
        <f t="shared" ref="R49:AL49" si="18">SUM(R5,R9,R15,R22,R26,R32,R37,R41,R45)</f>
        <v>28656.171999997779</v>
      </c>
      <c r="S49" s="86">
        <f t="shared" si="18"/>
        <v>29271.389999995692</v>
      </c>
      <c r="T49" s="86">
        <f t="shared" si="18"/>
        <v>29560.386999995269</v>
      </c>
      <c r="U49" s="86">
        <f t="shared" si="18"/>
        <v>29694.024999995774</v>
      </c>
      <c r="V49" s="86">
        <f t="shared" si="18"/>
        <v>30212.759999993872</v>
      </c>
      <c r="W49" s="86">
        <f t="shared" si="18"/>
        <v>29859.680999995038</v>
      </c>
      <c r="X49" s="86">
        <f t="shared" si="18"/>
        <v>30001.118999996717</v>
      </c>
      <c r="Y49" s="86">
        <f t="shared" si="18"/>
        <v>30149.171000000661</v>
      </c>
      <c r="Z49" s="86">
        <f t="shared" si="18"/>
        <v>30361.639999999748</v>
      </c>
      <c r="AA49" s="86">
        <f t="shared" si="18"/>
        <v>30593.801999999865</v>
      </c>
      <c r="AB49" s="86">
        <f t="shared" si="18"/>
        <v>30754.748000010026</v>
      </c>
      <c r="AC49" s="86">
        <f t="shared" si="18"/>
        <v>30893.187000010119</v>
      </c>
      <c r="AD49" s="86">
        <f t="shared" si="18"/>
        <v>31018.914000010533</v>
      </c>
      <c r="AE49" s="86">
        <f t="shared" si="18"/>
        <v>31143.820000009066</v>
      </c>
      <c r="AF49" s="86">
        <f t="shared" si="18"/>
        <v>31267.824000011398</v>
      </c>
      <c r="AG49" s="86">
        <f t="shared" si="18"/>
        <v>31402.526000012851</v>
      </c>
      <c r="AH49" s="86">
        <f t="shared" si="18"/>
        <v>31534.749000010022</v>
      </c>
      <c r="AI49" s="86">
        <f t="shared" si="18"/>
        <v>31667.528000011938</v>
      </c>
      <c r="AJ49" s="86">
        <f t="shared" si="18"/>
        <v>31801.975000013088</v>
      </c>
      <c r="AK49" s="86">
        <f t="shared" si="18"/>
        <v>31935.797000011</v>
      </c>
      <c r="AL49" s="86">
        <f t="shared" si="18"/>
        <v>32070.090999998909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3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3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3">
      <c r="L52" s="16" t="str">
        <f>'Occ T3'!A7</f>
        <v>Managers, directors and senior officials</v>
      </c>
      <c r="M52" s="336">
        <f>M5/M$49</f>
        <v>8.6192557984654403E-2</v>
      </c>
      <c r="N52" s="336">
        <f t="shared" ref="N52:AG52" si="20">N5/N$49</f>
        <v>9.4786896724300157E-2</v>
      </c>
      <c r="O52" s="336">
        <f t="shared" si="20"/>
        <v>9.6783155902000081E-2</v>
      </c>
      <c r="P52" s="336">
        <f t="shared" si="20"/>
        <v>9.774785439542584E-2</v>
      </c>
      <c r="Q52" s="336">
        <f t="shared" si="20"/>
        <v>9.6825319764221374E-2</v>
      </c>
      <c r="R52" s="336">
        <f t="shared" si="20"/>
        <v>9.8511237530991308E-2</v>
      </c>
      <c r="S52" s="336">
        <f t="shared" si="20"/>
        <v>9.9570931144395289E-2</v>
      </c>
      <c r="T52" s="336">
        <f t="shared" si="20"/>
        <v>0.10311062490553458</v>
      </c>
      <c r="U52" s="336">
        <f t="shared" si="20"/>
        <v>0.10422864163847376</v>
      </c>
      <c r="V52" s="336">
        <f t="shared" si="20"/>
        <v>0.10729862823488999</v>
      </c>
      <c r="W52" s="336">
        <f t="shared" si="20"/>
        <v>0.11044870388947296</v>
      </c>
      <c r="X52" s="336">
        <f t="shared" si="20"/>
        <v>0.10747299313971648</v>
      </c>
      <c r="Y52" s="336">
        <f t="shared" si="20"/>
        <v>0.10826982020248534</v>
      </c>
      <c r="Z52" s="336">
        <f t="shared" si="20"/>
        <v>0.10905998536688376</v>
      </c>
      <c r="AA52" s="336">
        <f t="shared" si="20"/>
        <v>0.10983939301696316</v>
      </c>
      <c r="AB52" s="336">
        <f t="shared" si="20"/>
        <v>0.11060627168533564</v>
      </c>
      <c r="AC52" s="336">
        <f t="shared" si="20"/>
        <v>0.11137598010173452</v>
      </c>
      <c r="AD52" s="336">
        <f t="shared" si="20"/>
        <v>0.11214351238377462</v>
      </c>
      <c r="AE52" s="336">
        <f t="shared" si="20"/>
        <v>0.11291468463504695</v>
      </c>
      <c r="AF52" s="336">
        <f t="shared" si="20"/>
        <v>0.11368821082325699</v>
      </c>
      <c r="AG52" s="336">
        <f t="shared" si="20"/>
        <v>0.11447125199605418</v>
      </c>
      <c r="AH52" s="336">
        <f t="shared" ref="AH52:AL52" si="21">AH5/AH$49</f>
        <v>0.11525544370147048</v>
      </c>
      <c r="AI52" s="336">
        <f t="shared" si="21"/>
        <v>0.11604494803187845</v>
      </c>
      <c r="AJ52" s="336">
        <f t="shared" si="21"/>
        <v>0.11683131457749606</v>
      </c>
      <c r="AK52" s="336">
        <f t="shared" si="21"/>
        <v>0.11761857501158979</v>
      </c>
      <c r="AL52" s="336">
        <f t="shared" si="21"/>
        <v>0.1184019623074903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3">
      <c r="L53" s="232" t="str">
        <f>'Occ T3'!A8</f>
        <v>11 Corporate managers and directors</v>
      </c>
      <c r="M53" s="335">
        <f t="shared" ref="M53:AG53" si="22">M6/M$49</f>
        <v>5.8746458246523948E-2</v>
      </c>
      <c r="N53" s="335">
        <f t="shared" si="22"/>
        <v>6.4224829614601783E-2</v>
      </c>
      <c r="O53" s="335">
        <f t="shared" si="22"/>
        <v>6.5501734748076176E-2</v>
      </c>
      <c r="P53" s="335">
        <f t="shared" si="22"/>
        <v>6.6398679849816761E-2</v>
      </c>
      <c r="Q53" s="335">
        <f t="shared" si="22"/>
        <v>6.3186111969869035E-2</v>
      </c>
      <c r="R53" s="335">
        <f t="shared" si="22"/>
        <v>6.6283578945122684E-2</v>
      </c>
      <c r="S53" s="335">
        <f t="shared" si="22"/>
        <v>6.9882709643200272E-2</v>
      </c>
      <c r="T53" s="335">
        <f t="shared" si="22"/>
        <v>7.1378576432596499E-2</v>
      </c>
      <c r="U53" s="335">
        <f t="shared" si="22"/>
        <v>7.229708744462382E-2</v>
      </c>
      <c r="V53" s="335">
        <f t="shared" si="22"/>
        <v>7.4552721299528446E-2</v>
      </c>
      <c r="W53" s="335">
        <f t="shared" si="22"/>
        <v>7.7055852862232613E-2</v>
      </c>
      <c r="X53" s="335">
        <f t="shared" si="22"/>
        <v>6.8968304105635578E-2</v>
      </c>
      <c r="Y53" s="335">
        <f t="shared" si="22"/>
        <v>6.9328282524093121E-2</v>
      </c>
      <c r="Z53" s="335">
        <f t="shared" si="22"/>
        <v>6.9678023113724133E-2</v>
      </c>
      <c r="AA53" s="335">
        <f t="shared" si="22"/>
        <v>7.0019512126534511E-2</v>
      </c>
      <c r="AB53" s="335">
        <f t="shared" si="22"/>
        <v>7.035456852208942E-2</v>
      </c>
      <c r="AC53" s="335">
        <f t="shared" si="22"/>
        <v>7.0693577445346517E-2</v>
      </c>
      <c r="AD53" s="335">
        <f t="shared" si="22"/>
        <v>7.1031057643039616E-2</v>
      </c>
      <c r="AE53" s="335">
        <f t="shared" si="22"/>
        <v>7.1371585606253035E-2</v>
      </c>
      <c r="AF53" s="335">
        <f t="shared" si="22"/>
        <v>7.1714189822121285E-2</v>
      </c>
      <c r="AG53" s="335">
        <f t="shared" si="22"/>
        <v>7.206225321630734E-2</v>
      </c>
      <c r="AH53" s="335">
        <f t="shared" ref="AH53:AL53" si="23">AH6/AH$49</f>
        <v>7.2409989161771299E-2</v>
      </c>
      <c r="AI53" s="335">
        <f t="shared" si="23"/>
        <v>7.2762451320387042E-2</v>
      </c>
      <c r="AJ53" s="335">
        <f t="shared" si="23"/>
        <v>7.3115362476292911E-2</v>
      </c>
      <c r="AK53" s="335">
        <f t="shared" si="23"/>
        <v>7.3473044773187265E-2</v>
      </c>
      <c r="AL53" s="335">
        <f t="shared" si="23"/>
        <v>7.3828727736048053E-2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3">
      <c r="L54" s="232" t="str">
        <f>'Occ T3'!A9</f>
        <v>12 Other managers and proprietors</v>
      </c>
      <c r="M54" s="335">
        <f t="shared" ref="M54:AG54" si="24">M7/M$49</f>
        <v>2.7446099738130451E-2</v>
      </c>
      <c r="N54" s="335">
        <f t="shared" si="24"/>
        <v>3.0562067109698374E-2</v>
      </c>
      <c r="O54" s="335">
        <f t="shared" si="24"/>
        <v>3.1281421153923905E-2</v>
      </c>
      <c r="P54" s="335">
        <f t="shared" si="24"/>
        <v>3.1349174545609072E-2</v>
      </c>
      <c r="Q54" s="335">
        <f t="shared" si="24"/>
        <v>3.3639207794352345E-2</v>
      </c>
      <c r="R54" s="335">
        <f t="shared" si="24"/>
        <v>3.2227658585868624E-2</v>
      </c>
      <c r="S54" s="335">
        <f t="shared" si="24"/>
        <v>2.9688221501195006E-2</v>
      </c>
      <c r="T54" s="335">
        <f t="shared" si="24"/>
        <v>3.1732048472938076E-2</v>
      </c>
      <c r="U54" s="335">
        <f t="shared" si="24"/>
        <v>3.1931554193849951E-2</v>
      </c>
      <c r="V54" s="335">
        <f t="shared" si="24"/>
        <v>3.274590693536153E-2</v>
      </c>
      <c r="W54" s="335">
        <f t="shared" si="24"/>
        <v>3.339285102724035E-2</v>
      </c>
      <c r="X54" s="335">
        <f t="shared" si="24"/>
        <v>3.8504689034080906E-2</v>
      </c>
      <c r="Y54" s="335">
        <f t="shared" si="24"/>
        <v>3.894153767839223E-2</v>
      </c>
      <c r="Z54" s="335">
        <f t="shared" si="24"/>
        <v>3.9381962253159611E-2</v>
      </c>
      <c r="AA54" s="335">
        <f t="shared" si="24"/>
        <v>3.9819880890428663E-2</v>
      </c>
      <c r="AB54" s="335">
        <f t="shared" si="24"/>
        <v>4.0251703163246236E-2</v>
      </c>
      <c r="AC54" s="335">
        <f t="shared" si="24"/>
        <v>4.0682402656388013E-2</v>
      </c>
      <c r="AD54" s="335">
        <f t="shared" si="24"/>
        <v>4.1112454740735001E-2</v>
      </c>
      <c r="AE54" s="335">
        <f t="shared" si="24"/>
        <v>4.1543099028793912E-2</v>
      </c>
      <c r="AF54" s="335">
        <f t="shared" si="24"/>
        <v>4.1974021001135717E-2</v>
      </c>
      <c r="AG54" s="335">
        <f t="shared" si="24"/>
        <v>4.2408998779746854E-2</v>
      </c>
      <c r="AH54" s="335">
        <f t="shared" ref="AH54:AL54" si="25">AH7/AH$49</f>
        <v>4.2845454539699172E-2</v>
      </c>
      <c r="AI54" s="335">
        <f t="shared" si="25"/>
        <v>4.3282496711491418E-2</v>
      </c>
      <c r="AJ54" s="335">
        <f t="shared" si="25"/>
        <v>4.3715952101203145E-2</v>
      </c>
      <c r="AK54" s="335">
        <f t="shared" si="25"/>
        <v>4.4145530238402515E-2</v>
      </c>
      <c r="AL54" s="335">
        <f t="shared" si="25"/>
        <v>4.4573234571442251E-2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3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3">
      <c r="L56" s="16" t="str">
        <f>'Occ T3'!A11</f>
        <v>Professional occupations</v>
      </c>
      <c r="M56" s="336">
        <f t="shared" ref="M56:AG56" si="26">M9/M$49</f>
        <v>0.20746926554878739</v>
      </c>
      <c r="N56" s="336">
        <f t="shared" si="26"/>
        <v>0.2039180104221619</v>
      </c>
      <c r="O56" s="336">
        <f t="shared" si="26"/>
        <v>0.20403798281220961</v>
      </c>
      <c r="P56" s="336">
        <f t="shared" si="26"/>
        <v>0.20805756313338208</v>
      </c>
      <c r="Q56" s="336">
        <f t="shared" si="26"/>
        <v>0.20767633377808306</v>
      </c>
      <c r="R56" s="336">
        <f t="shared" si="26"/>
        <v>0.20635148972596945</v>
      </c>
      <c r="S56" s="336">
        <f t="shared" si="26"/>
        <v>0.21358632832002489</v>
      </c>
      <c r="T56" s="336">
        <f t="shared" si="26"/>
        <v>0.21110047687035646</v>
      </c>
      <c r="U56" s="336">
        <f t="shared" si="26"/>
        <v>0.21783069262551025</v>
      </c>
      <c r="V56" s="336">
        <f t="shared" si="26"/>
        <v>0.22328895519861972</v>
      </c>
      <c r="W56" s="336">
        <f t="shared" si="26"/>
        <v>0.23586682144318716</v>
      </c>
      <c r="X56" s="336">
        <f t="shared" si="26"/>
        <v>0.2420620587505127</v>
      </c>
      <c r="Y56" s="336">
        <f t="shared" si="26"/>
        <v>0.24340746634681959</v>
      </c>
      <c r="Z56" s="336">
        <f t="shared" si="26"/>
        <v>0.24481822643494425</v>
      </c>
      <c r="AA56" s="336">
        <f t="shared" si="26"/>
        <v>0.2462399974567806</v>
      </c>
      <c r="AB56" s="336">
        <f t="shared" si="26"/>
        <v>0.24769639680516353</v>
      </c>
      <c r="AC56" s="336">
        <f t="shared" si="26"/>
        <v>0.24916500986217077</v>
      </c>
      <c r="AD56" s="336">
        <f t="shared" si="26"/>
        <v>0.25063847787276494</v>
      </c>
      <c r="AE56" s="336">
        <f t="shared" si="26"/>
        <v>0.25210853335480932</v>
      </c>
      <c r="AF56" s="336">
        <f t="shared" si="26"/>
        <v>0.25356785773780738</v>
      </c>
      <c r="AG56" s="336">
        <f t="shared" si="26"/>
        <v>0.25502979232397349</v>
      </c>
      <c r="AH56" s="336">
        <f t="shared" ref="AH56:AL56" si="27">AH9/AH$49</f>
        <v>0.25648829471924289</v>
      </c>
      <c r="AI56" s="336">
        <f t="shared" si="27"/>
        <v>0.25794981917024723</v>
      </c>
      <c r="AJ56" s="336">
        <f t="shared" si="27"/>
        <v>0.25941179332351266</v>
      </c>
      <c r="AK56" s="336">
        <f t="shared" si="27"/>
        <v>0.2608719165754822</v>
      </c>
      <c r="AL56" s="336">
        <f t="shared" si="27"/>
        <v>0.2623217960134348</v>
      </c>
    </row>
    <row r="57" spans="1:57" x14ac:dyDescent="0.3">
      <c r="L57" s="232" t="str">
        <f>'Occ T3'!A12</f>
        <v>21 Science, research, engineering and technology professionals</v>
      </c>
      <c r="M57" s="335">
        <f t="shared" ref="M57:AG57" si="28">M10/M$49</f>
        <v>5.3650150735105005E-2</v>
      </c>
      <c r="N57" s="335">
        <f t="shared" si="28"/>
        <v>5.1745582005513865E-2</v>
      </c>
      <c r="O57" s="335">
        <f t="shared" si="28"/>
        <v>5.2245249459556581E-2</v>
      </c>
      <c r="P57" s="335">
        <f t="shared" si="28"/>
        <v>5.2336399700107845E-2</v>
      </c>
      <c r="Q57" s="335">
        <f t="shared" si="28"/>
        <v>5.4009659996222176E-2</v>
      </c>
      <c r="R57" s="335">
        <f t="shared" si="28"/>
        <v>5.5313734754162888E-2</v>
      </c>
      <c r="S57" s="335">
        <f t="shared" si="28"/>
        <v>5.7256802123819402E-2</v>
      </c>
      <c r="T57" s="335">
        <f t="shared" si="28"/>
        <v>5.5502499717520505E-2</v>
      </c>
      <c r="U57" s="335">
        <f t="shared" si="28"/>
        <v>5.8934942029560011E-2</v>
      </c>
      <c r="V57" s="335">
        <f t="shared" si="28"/>
        <v>6.0380792514089579E-2</v>
      </c>
      <c r="W57" s="335">
        <f t="shared" si="28"/>
        <v>6.3597391248259638E-2</v>
      </c>
      <c r="X57" s="335">
        <f t="shared" si="28"/>
        <v>6.402865833659413E-2</v>
      </c>
      <c r="Y57" s="335">
        <f t="shared" si="28"/>
        <v>6.4457413088413962E-2</v>
      </c>
      <c r="Z57" s="335">
        <f t="shared" si="28"/>
        <v>6.4882748572204094E-2</v>
      </c>
      <c r="AA57" s="335">
        <f t="shared" si="28"/>
        <v>6.5294722334777386E-2</v>
      </c>
      <c r="AB57" s="335">
        <f t="shared" si="28"/>
        <v>6.5701521319038753E-2</v>
      </c>
      <c r="AC57" s="335">
        <f t="shared" si="28"/>
        <v>6.6117566164257888E-2</v>
      </c>
      <c r="AD57" s="335">
        <f t="shared" si="28"/>
        <v>6.6531698255072061E-2</v>
      </c>
      <c r="AE57" s="335">
        <f t="shared" si="28"/>
        <v>6.6949381424281987E-2</v>
      </c>
      <c r="AF57" s="335">
        <f t="shared" si="28"/>
        <v>6.7368839497903871E-2</v>
      </c>
      <c r="AG57" s="335">
        <f t="shared" si="28"/>
        <v>6.7789170572210442E-2</v>
      </c>
      <c r="AH57" s="335">
        <f t="shared" ref="AH57:AL57" si="29">AH10/AH$49</f>
        <v>6.8208302407864782E-2</v>
      </c>
      <c r="AI57" s="335">
        <f t="shared" si="29"/>
        <v>6.8629174073007851E-2</v>
      </c>
      <c r="AJ57" s="335">
        <f t="shared" si="29"/>
        <v>6.904911056995304E-2</v>
      </c>
      <c r="AK57" s="335">
        <f t="shared" si="29"/>
        <v>6.946974507743954E-2</v>
      </c>
      <c r="AL57" s="335">
        <f t="shared" si="29"/>
        <v>6.9891699981896274E-2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3">
      <c r="L58" s="232" t="str">
        <f>'Occ T3'!A13</f>
        <v>22 Health professionals</v>
      </c>
      <c r="M58" s="335">
        <f t="shared" ref="M58:AG58" si="30">M11/M$49</f>
        <v>3.7894161151931602E-2</v>
      </c>
      <c r="N58" s="335">
        <f t="shared" si="30"/>
        <v>4.0159163448887626E-2</v>
      </c>
      <c r="O58" s="335">
        <f t="shared" si="30"/>
        <v>4.0827640134357308E-2</v>
      </c>
      <c r="P58" s="335">
        <f t="shared" si="30"/>
        <v>4.1741707592819838E-2</v>
      </c>
      <c r="Q58" s="335">
        <f t="shared" si="30"/>
        <v>4.126434531163068E-2</v>
      </c>
      <c r="R58" s="335">
        <f t="shared" si="30"/>
        <v>4.080945704335167E-2</v>
      </c>
      <c r="S58" s="335">
        <f t="shared" si="30"/>
        <v>4.1773575420684758E-2</v>
      </c>
      <c r="T58" s="335">
        <f t="shared" si="30"/>
        <v>4.3418998118543342E-2</v>
      </c>
      <c r="U58" s="335">
        <f t="shared" si="30"/>
        <v>4.3325603503874939E-2</v>
      </c>
      <c r="V58" s="335">
        <f t="shared" si="30"/>
        <v>4.4837235795568954E-2</v>
      </c>
      <c r="W58" s="335">
        <f t="shared" si="30"/>
        <v>4.5336652700870506E-2</v>
      </c>
      <c r="X58" s="335">
        <f t="shared" si="30"/>
        <v>4.6655855684387737E-2</v>
      </c>
      <c r="Y58" s="335">
        <f t="shared" si="30"/>
        <v>4.6873106319448792E-2</v>
      </c>
      <c r="Z58" s="335">
        <f t="shared" si="30"/>
        <v>4.7062244582246636E-2</v>
      </c>
      <c r="AA58" s="335">
        <f t="shared" si="30"/>
        <v>4.7260854413096236E-2</v>
      </c>
      <c r="AB58" s="335">
        <f t="shared" si="30"/>
        <v>4.7471278105163585E-2</v>
      </c>
      <c r="AC58" s="335">
        <f t="shared" si="30"/>
        <v>4.7679734363993781E-2</v>
      </c>
      <c r="AD58" s="335">
        <f t="shared" si="30"/>
        <v>4.7891899128775769E-2</v>
      </c>
      <c r="AE58" s="335">
        <f t="shared" si="30"/>
        <v>4.8104158748030271E-2</v>
      </c>
      <c r="AF58" s="335">
        <f t="shared" si="30"/>
        <v>4.8304497491858826E-2</v>
      </c>
      <c r="AG58" s="335">
        <f t="shared" si="30"/>
        <v>4.8508627099856524E-2</v>
      </c>
      <c r="AH58" s="335">
        <f t="shared" ref="AH58:AL58" si="31">AH11/AH$49</f>
        <v>4.8716850793871738E-2</v>
      </c>
      <c r="AI58" s="335">
        <f t="shared" si="31"/>
        <v>4.8925456570885782E-2</v>
      </c>
      <c r="AJ58" s="335">
        <f t="shared" si="31"/>
        <v>4.9134958620317991E-2</v>
      </c>
      <c r="AK58" s="335">
        <f t="shared" si="31"/>
        <v>4.9337276551929952E-2</v>
      </c>
      <c r="AL58" s="335">
        <f t="shared" si="31"/>
        <v>4.9530084924250282E-2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45" x14ac:dyDescent="0.4">
      <c r="A59" s="79" t="str">
        <f>CONCATENATE("Occupation Figure 2.1  Employment by Occupation (% shares), ",$M$2,"-",$O$2,", ",Info!B5)</f>
        <v>Occupation Figure 2.1  Employment by Occupation (% shares), 2010-2035, England</v>
      </c>
      <c r="L59" s="232" t="str">
        <f>'Occ T3'!A14</f>
        <v>23 Teaching and other educational professionals</v>
      </c>
      <c r="M59" s="335">
        <f t="shared" ref="M59:AG59" si="32">M12/M$49</f>
        <v>4.9014730037301342E-2</v>
      </c>
      <c r="N59" s="335">
        <f t="shared" si="32"/>
        <v>4.8895068417262072E-2</v>
      </c>
      <c r="O59" s="335">
        <f t="shared" si="32"/>
        <v>4.8317615561181894E-2</v>
      </c>
      <c r="P59" s="335">
        <f t="shared" si="32"/>
        <v>4.8655778004661816E-2</v>
      </c>
      <c r="Q59" s="335">
        <f t="shared" si="32"/>
        <v>4.7814254194000823E-2</v>
      </c>
      <c r="R59" s="335">
        <f t="shared" si="32"/>
        <v>4.7520275393351366E-2</v>
      </c>
      <c r="S59" s="335">
        <f t="shared" si="32"/>
        <v>4.8309806773784471E-2</v>
      </c>
      <c r="T59" s="335">
        <f t="shared" si="32"/>
        <v>4.6369993518784812E-2</v>
      </c>
      <c r="U59" s="335">
        <f t="shared" si="32"/>
        <v>4.6895271316877339E-2</v>
      </c>
      <c r="V59" s="335">
        <f t="shared" si="32"/>
        <v>4.7702991468471879E-2</v>
      </c>
      <c r="W59" s="335">
        <f t="shared" si="32"/>
        <v>5.0251867973518473E-2</v>
      </c>
      <c r="X59" s="335">
        <f t="shared" si="32"/>
        <v>5.0171382030581593E-2</v>
      </c>
      <c r="Y59" s="335">
        <f t="shared" si="32"/>
        <v>5.0209107818067804E-2</v>
      </c>
      <c r="Z59" s="335">
        <f t="shared" si="32"/>
        <v>5.0373857933320776E-2</v>
      </c>
      <c r="AA59" s="335">
        <f t="shared" si="32"/>
        <v>5.0559293447284742E-2</v>
      </c>
      <c r="AB59" s="335">
        <f t="shared" si="32"/>
        <v>5.0781516870063874E-2</v>
      </c>
      <c r="AC59" s="335">
        <f t="shared" si="32"/>
        <v>5.1006386292330487E-2</v>
      </c>
      <c r="AD59" s="335">
        <f t="shared" si="32"/>
        <v>5.1234907290262893E-2</v>
      </c>
      <c r="AE59" s="335">
        <f t="shared" si="32"/>
        <v>5.1459102096638343E-2</v>
      </c>
      <c r="AF59" s="335">
        <f t="shared" si="32"/>
        <v>5.1681376666748345E-2</v>
      </c>
      <c r="AG59" s="335">
        <f t="shared" si="32"/>
        <v>5.1900092157059527E-2</v>
      </c>
      <c r="AH59" s="335">
        <f t="shared" ref="AH59:AL59" si="33">AH12/AH$49</f>
        <v>5.2118262834101384E-2</v>
      </c>
      <c r="AI59" s="335">
        <f t="shared" si="33"/>
        <v>5.2335012870639103E-2</v>
      </c>
      <c r="AJ59" s="335">
        <f t="shared" si="33"/>
        <v>5.2552175058930561E-2</v>
      </c>
      <c r="AK59" s="335">
        <f t="shared" si="33"/>
        <v>5.2771018233955927E-2</v>
      </c>
      <c r="AL59" s="335">
        <f t="shared" si="33"/>
        <v>5.2988302573663194E-2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3">
      <c r="L60" s="232" t="str">
        <f>'Occ T3'!A15</f>
        <v>24 Business, media and public service professionals</v>
      </c>
      <c r="M60" s="335">
        <f t="shared" ref="M60:AG60" si="34">M13/M$49</f>
        <v>6.6910223624449428E-2</v>
      </c>
      <c r="N60" s="335">
        <f t="shared" si="34"/>
        <v>6.3118196550498329E-2</v>
      </c>
      <c r="O60" s="335">
        <f t="shared" si="34"/>
        <v>6.2647477657113815E-2</v>
      </c>
      <c r="P60" s="335">
        <f t="shared" si="34"/>
        <v>6.5323677835792585E-2</v>
      </c>
      <c r="Q60" s="335">
        <f t="shared" si="34"/>
        <v>6.4588074276229368E-2</v>
      </c>
      <c r="R60" s="335">
        <f t="shared" si="34"/>
        <v>6.2708022535103519E-2</v>
      </c>
      <c r="S60" s="335">
        <f t="shared" si="34"/>
        <v>6.6246144001736243E-2</v>
      </c>
      <c r="T60" s="335">
        <f t="shared" si="34"/>
        <v>6.5808985515507776E-2</v>
      </c>
      <c r="U60" s="335">
        <f t="shared" si="34"/>
        <v>6.8674875775197916E-2</v>
      </c>
      <c r="V60" s="335">
        <f t="shared" si="34"/>
        <v>7.0367935420489303E-2</v>
      </c>
      <c r="W60" s="335">
        <f t="shared" si="34"/>
        <v>7.6680909520538534E-2</v>
      </c>
      <c r="X60" s="335">
        <f t="shared" si="34"/>
        <v>8.1206162698949216E-2</v>
      </c>
      <c r="Y60" s="335">
        <f t="shared" si="34"/>
        <v>8.1867839120889019E-2</v>
      </c>
      <c r="Z60" s="335">
        <f t="shared" si="34"/>
        <v>8.2499375347172735E-2</v>
      </c>
      <c r="AA60" s="335">
        <f t="shared" si="34"/>
        <v>8.3125127261622231E-2</v>
      </c>
      <c r="AB60" s="335">
        <f t="shared" si="34"/>
        <v>8.3742080510897307E-2</v>
      </c>
      <c r="AC60" s="335">
        <f t="shared" si="34"/>
        <v>8.436132304158861E-2</v>
      </c>
      <c r="AD60" s="335">
        <f t="shared" si="34"/>
        <v>8.4979973198654218E-2</v>
      </c>
      <c r="AE60" s="335">
        <f t="shared" si="34"/>
        <v>8.5595891085858744E-2</v>
      </c>
      <c r="AF60" s="335">
        <f t="shared" si="34"/>
        <v>8.6213144081296322E-2</v>
      </c>
      <c r="AG60" s="335">
        <f t="shared" si="34"/>
        <v>8.6831902494846971E-2</v>
      </c>
      <c r="AH60" s="335">
        <f t="shared" ref="AH60:AL60" si="35">AH13/AH$49</f>
        <v>8.7444878683405003E-2</v>
      </c>
      <c r="AI60" s="335">
        <f t="shared" si="35"/>
        <v>8.8060175655714529E-2</v>
      </c>
      <c r="AJ60" s="335">
        <f t="shared" si="35"/>
        <v>8.8675549074311077E-2</v>
      </c>
      <c r="AK60" s="335">
        <f t="shared" si="35"/>
        <v>8.9293876712156814E-2</v>
      </c>
      <c r="AL60" s="335">
        <f t="shared" si="35"/>
        <v>8.9911708533625054E-2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3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3">
      <c r="L62" s="16" t="str">
        <f>'Occ T3'!A17</f>
        <v>Associate professional occupations</v>
      </c>
      <c r="M62" s="336">
        <f t="shared" ref="M62:AG62" si="36">M15/M$49</f>
        <v>0.12439456190688843</v>
      </c>
      <c r="N62" s="336">
        <f t="shared" si="36"/>
        <v>0.12608789505491055</v>
      </c>
      <c r="O62" s="336">
        <f t="shared" si="36"/>
        <v>0.12895595289396788</v>
      </c>
      <c r="P62" s="336">
        <f t="shared" si="36"/>
        <v>0.12742269512219606</v>
      </c>
      <c r="Q62" s="336">
        <f t="shared" si="36"/>
        <v>0.12802249095925983</v>
      </c>
      <c r="R62" s="336">
        <f t="shared" si="36"/>
        <v>0.12817758294401588</v>
      </c>
      <c r="S62" s="336">
        <f t="shared" si="36"/>
        <v>0.12953392506106651</v>
      </c>
      <c r="T62" s="336">
        <f t="shared" si="36"/>
        <v>0.13143302156849279</v>
      </c>
      <c r="U62" s="336">
        <f t="shared" si="36"/>
        <v>0.13282222820146125</v>
      </c>
      <c r="V62" s="336">
        <f t="shared" si="36"/>
        <v>0.1312786353437046</v>
      </c>
      <c r="W62" s="336">
        <f t="shared" si="36"/>
        <v>0.13906128527136863</v>
      </c>
      <c r="X62" s="336">
        <f t="shared" si="36"/>
        <v>0.13118948725987525</v>
      </c>
      <c r="Y62" s="336">
        <f t="shared" si="36"/>
        <v>0.13161360470516095</v>
      </c>
      <c r="Z62" s="336">
        <f t="shared" si="36"/>
        <v>0.13201437180788719</v>
      </c>
      <c r="AA62" s="336">
        <f t="shared" si="36"/>
        <v>0.13242658512694494</v>
      </c>
      <c r="AB62" s="336">
        <f t="shared" si="36"/>
        <v>0.13283185791493418</v>
      </c>
      <c r="AC62" s="336">
        <f t="shared" si="36"/>
        <v>0.13324027356519089</v>
      </c>
      <c r="AD62" s="336">
        <f t="shared" si="36"/>
        <v>0.13364873614478931</v>
      </c>
      <c r="AE62" s="336">
        <f t="shared" si="36"/>
        <v>0.1340514364881383</v>
      </c>
      <c r="AF62" s="336">
        <f t="shared" si="36"/>
        <v>0.13446309863967146</v>
      </c>
      <c r="AG62" s="336">
        <f t="shared" si="36"/>
        <v>0.13487972538481566</v>
      </c>
      <c r="AH62" s="336">
        <f t="shared" ref="AH62:AL62" si="37">AH15/AH$49</f>
        <v>0.13529641897515804</v>
      </c>
      <c r="AI62" s="336">
        <f t="shared" si="37"/>
        <v>0.13572172966952462</v>
      </c>
      <c r="AJ62" s="336">
        <f t="shared" si="37"/>
        <v>0.13615142474784644</v>
      </c>
      <c r="AK62" s="336">
        <f t="shared" si="37"/>
        <v>0.13658561273927983</v>
      </c>
      <c r="AL62" s="336">
        <f t="shared" si="37"/>
        <v>0.13700869071953867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3">
      <c r="L63" s="232" t="str">
        <f>'Occ T3'!A18</f>
        <v>31 Science, engineering and technology associate professionals</v>
      </c>
      <c r="M63" s="335">
        <f t="shared" ref="M63:AG63" si="38">M16/M$49</f>
        <v>1.7658853689765653E-2</v>
      </c>
      <c r="N63" s="335">
        <f t="shared" si="38"/>
        <v>1.7322284145021558E-2</v>
      </c>
      <c r="O63" s="335">
        <f t="shared" si="38"/>
        <v>1.7657067979153018E-2</v>
      </c>
      <c r="P63" s="335">
        <f t="shared" si="38"/>
        <v>1.7911671156126008E-2</v>
      </c>
      <c r="Q63" s="335">
        <f t="shared" si="38"/>
        <v>1.632976888330135E-2</v>
      </c>
      <c r="R63" s="335">
        <f t="shared" si="38"/>
        <v>1.6166944514141312E-2</v>
      </c>
      <c r="S63" s="335">
        <f t="shared" si="38"/>
        <v>1.6853013019443124E-2</v>
      </c>
      <c r="T63" s="335">
        <f t="shared" si="38"/>
        <v>1.8412919423128449E-2</v>
      </c>
      <c r="U63" s="335">
        <f t="shared" si="38"/>
        <v>1.8784521288307657E-2</v>
      </c>
      <c r="V63" s="335">
        <f t="shared" si="38"/>
        <v>1.8066095465951591E-2</v>
      </c>
      <c r="W63" s="335">
        <f t="shared" si="38"/>
        <v>1.9816490692841214E-2</v>
      </c>
      <c r="X63" s="335">
        <f t="shared" si="38"/>
        <v>1.6873713731672929E-2</v>
      </c>
      <c r="Y63" s="335">
        <f t="shared" si="38"/>
        <v>1.6918730590897955E-2</v>
      </c>
      <c r="Z63" s="335">
        <f t="shared" si="38"/>
        <v>1.6963711131403051E-2</v>
      </c>
      <c r="AA63" s="335">
        <f t="shared" si="38"/>
        <v>1.7006583416331825E-2</v>
      </c>
      <c r="AB63" s="335">
        <f t="shared" si="38"/>
        <v>1.7048312543647373E-2</v>
      </c>
      <c r="AC63" s="335">
        <f t="shared" si="38"/>
        <v>1.7093254778448072E-2</v>
      </c>
      <c r="AD63" s="335">
        <f t="shared" si="38"/>
        <v>1.7135816889850733E-2</v>
      </c>
      <c r="AE63" s="335">
        <f t="shared" si="38"/>
        <v>1.7177342328617881E-2</v>
      </c>
      <c r="AF63" s="335">
        <f t="shared" si="38"/>
        <v>1.7220578627587635E-2</v>
      </c>
      <c r="AG63" s="335">
        <f t="shared" si="38"/>
        <v>1.7266391423637943E-2</v>
      </c>
      <c r="AH63" s="335">
        <f t="shared" ref="AH63:AL63" si="39">AH16/AH$49</f>
        <v>1.7312613514214956E-2</v>
      </c>
      <c r="AI63" s="335">
        <f t="shared" si="39"/>
        <v>1.7360348166825818E-2</v>
      </c>
      <c r="AJ63" s="335">
        <f t="shared" si="39"/>
        <v>1.7407972404528686E-2</v>
      </c>
      <c r="AK63" s="335">
        <f t="shared" si="39"/>
        <v>1.7457043787568183E-2</v>
      </c>
      <c r="AL63" s="335">
        <f t="shared" si="39"/>
        <v>1.7505559294773463E-2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3">
      <c r="L64" s="232" t="str">
        <f>'Occ T3'!A19</f>
        <v>32 Health and social care associate professionals</v>
      </c>
      <c r="M64" s="335">
        <f t="shared" ref="M64:AG64" si="40">M17/M$49</f>
        <v>1.4122051621452731E-2</v>
      </c>
      <c r="N64" s="335">
        <f t="shared" si="40"/>
        <v>1.7925551666959916E-2</v>
      </c>
      <c r="O64" s="335">
        <f t="shared" si="40"/>
        <v>1.7597305579943639E-2</v>
      </c>
      <c r="P64" s="335">
        <f t="shared" si="40"/>
        <v>1.7328308380695694E-2</v>
      </c>
      <c r="Q64" s="335">
        <f t="shared" si="40"/>
        <v>1.7076703154760522E-2</v>
      </c>
      <c r="R64" s="335">
        <f t="shared" si="40"/>
        <v>1.7204043159766702E-2</v>
      </c>
      <c r="S64" s="335">
        <f t="shared" si="40"/>
        <v>1.7349215699242918E-2</v>
      </c>
      <c r="T64" s="335">
        <f t="shared" si="40"/>
        <v>1.7222923660567276E-2</v>
      </c>
      <c r="U64" s="335">
        <f t="shared" si="40"/>
        <v>1.8596898689231946E-2</v>
      </c>
      <c r="V64" s="335">
        <f t="shared" si="40"/>
        <v>1.8396991809347795E-2</v>
      </c>
      <c r="W64" s="335">
        <f t="shared" si="40"/>
        <v>1.9047872531996059E-2</v>
      </c>
      <c r="X64" s="335">
        <f t="shared" si="40"/>
        <v>1.8411637475415566E-2</v>
      </c>
      <c r="Y64" s="335">
        <f t="shared" si="40"/>
        <v>1.8504673036114496E-2</v>
      </c>
      <c r="Z64" s="335">
        <f t="shared" si="40"/>
        <v>1.8587218277327133E-2</v>
      </c>
      <c r="AA64" s="335">
        <f t="shared" si="40"/>
        <v>1.867506002874985E-2</v>
      </c>
      <c r="AB64" s="335">
        <f t="shared" si="40"/>
        <v>1.876869104936528E-2</v>
      </c>
      <c r="AC64" s="335">
        <f t="shared" si="40"/>
        <v>1.8860619303099412E-2</v>
      </c>
      <c r="AD64" s="335">
        <f t="shared" si="40"/>
        <v>1.8953901266783903E-2</v>
      </c>
      <c r="AE64" s="335">
        <f t="shared" si="40"/>
        <v>1.9044570739701568E-2</v>
      </c>
      <c r="AF64" s="335">
        <f t="shared" si="40"/>
        <v>1.9137400085541548E-2</v>
      </c>
      <c r="AG64" s="335">
        <f t="shared" si="40"/>
        <v>1.9231654016685605E-2</v>
      </c>
      <c r="AH64" s="335">
        <f t="shared" ref="AH64:AL64" si="41">AH17/AH$49</f>
        <v>1.9327754556196352E-2</v>
      </c>
      <c r="AI64" s="335">
        <f t="shared" si="41"/>
        <v>1.9422430343968813E-2</v>
      </c>
      <c r="AJ64" s="335">
        <f t="shared" si="41"/>
        <v>1.9515885576297264E-2</v>
      </c>
      <c r="AK64" s="335">
        <f t="shared" si="41"/>
        <v>1.961122267969833E-2</v>
      </c>
      <c r="AL64" s="335">
        <f t="shared" si="41"/>
        <v>1.9707588406334537E-2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3">
      <c r="L65" s="232" t="str">
        <f>'Occ T3'!A20</f>
        <v>33 Protective service occupations</v>
      </c>
      <c r="M65" s="335">
        <f t="shared" ref="M65:AG65" si="42">M18/M$49</f>
        <v>1.0483230316611742E-2</v>
      </c>
      <c r="N65" s="335">
        <f t="shared" si="42"/>
        <v>1.1988563915908006E-2</v>
      </c>
      <c r="O65" s="335">
        <f t="shared" si="42"/>
        <v>1.165731407142886E-2</v>
      </c>
      <c r="P65" s="335">
        <f t="shared" si="42"/>
        <v>1.0562729641132201E-2</v>
      </c>
      <c r="Q65" s="335">
        <f t="shared" si="42"/>
        <v>1.0345258187935439E-2</v>
      </c>
      <c r="R65" s="335">
        <f t="shared" si="42"/>
        <v>1.027818308203036E-2</v>
      </c>
      <c r="S65" s="335">
        <f t="shared" si="42"/>
        <v>1.0891463724858396E-2</v>
      </c>
      <c r="T65" s="335">
        <f t="shared" si="42"/>
        <v>1.0318551359678647E-2</v>
      </c>
      <c r="U65" s="335">
        <f t="shared" si="42"/>
        <v>1.0204447586788318E-2</v>
      </c>
      <c r="V65" s="335">
        <f t="shared" si="42"/>
        <v>1.0023505944719492E-2</v>
      </c>
      <c r="W65" s="335">
        <f t="shared" si="42"/>
        <v>1.0773549063097757E-2</v>
      </c>
      <c r="X65" s="335">
        <f t="shared" si="42"/>
        <v>1.1947365987058802E-2</v>
      </c>
      <c r="Y65" s="335">
        <f t="shared" si="42"/>
        <v>1.2091123342667792E-2</v>
      </c>
      <c r="Z65" s="335">
        <f t="shared" si="42"/>
        <v>1.2221290637199502E-2</v>
      </c>
      <c r="AA65" s="335">
        <f t="shared" si="42"/>
        <v>1.2353655135273272E-2</v>
      </c>
      <c r="AB65" s="335">
        <f t="shared" si="42"/>
        <v>1.2479374778529681E-2</v>
      </c>
      <c r="AC65" s="335">
        <f t="shared" si="42"/>
        <v>1.2604626927305202E-2</v>
      </c>
      <c r="AD65" s="335">
        <f t="shared" si="42"/>
        <v>1.2729882192135781E-2</v>
      </c>
      <c r="AE65" s="335">
        <f t="shared" si="42"/>
        <v>1.2855329023256533E-2</v>
      </c>
      <c r="AF65" s="335">
        <f t="shared" si="42"/>
        <v>1.2987143803167973E-2</v>
      </c>
      <c r="AG65" s="335">
        <f t="shared" si="42"/>
        <v>1.311810958710039E-2</v>
      </c>
      <c r="AH65" s="335">
        <f t="shared" ref="AH65:AL65" si="43">AH18/AH$49</f>
        <v>1.3250215556882494E-2</v>
      </c>
      <c r="AI65" s="335">
        <f t="shared" si="43"/>
        <v>1.3380949462648693E-2</v>
      </c>
      <c r="AJ65" s="335">
        <f t="shared" si="43"/>
        <v>1.3520626001384425E-2</v>
      </c>
      <c r="AK65" s="335">
        <f t="shared" si="43"/>
        <v>1.3653045171270972E-2</v>
      </c>
      <c r="AL65" s="335">
        <f t="shared" si="43"/>
        <v>1.3786887138206744E-2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3">
      <c r="L66" s="232" t="str">
        <f>'Occ T3'!A21</f>
        <v>34 Culture, media and sports occupations</v>
      </c>
      <c r="M66" s="335">
        <f t="shared" ref="M66:AG66" si="44">M19/M$49</f>
        <v>1.7473606048602239E-2</v>
      </c>
      <c r="N66" s="335">
        <f t="shared" si="44"/>
        <v>1.8465497281749548E-2</v>
      </c>
      <c r="O66" s="335">
        <f t="shared" si="44"/>
        <v>1.9832889278322465E-2</v>
      </c>
      <c r="P66" s="335">
        <f t="shared" si="44"/>
        <v>1.9651863747931424E-2</v>
      </c>
      <c r="Q66" s="335">
        <f t="shared" si="44"/>
        <v>2.1270888952191265E-2</v>
      </c>
      <c r="R66" s="335">
        <f t="shared" si="44"/>
        <v>2.1893009690282607E-2</v>
      </c>
      <c r="S66" s="335">
        <f t="shared" si="44"/>
        <v>2.1350860016745205E-2</v>
      </c>
      <c r="T66" s="335">
        <f t="shared" si="44"/>
        <v>2.1911036135227571E-2</v>
      </c>
      <c r="U66" s="335">
        <f t="shared" si="44"/>
        <v>2.1988539944616178E-2</v>
      </c>
      <c r="V66" s="335">
        <f t="shared" si="44"/>
        <v>2.0765342209097856E-2</v>
      </c>
      <c r="W66" s="335">
        <f t="shared" si="44"/>
        <v>2.2728805800631476E-2</v>
      </c>
      <c r="X66" s="335">
        <f t="shared" si="44"/>
        <v>2.1392397279489758E-2</v>
      </c>
      <c r="Y66" s="335">
        <f t="shared" si="44"/>
        <v>2.149066680735991E-2</v>
      </c>
      <c r="Z66" s="335">
        <f t="shared" si="44"/>
        <v>2.1626044223930937E-2</v>
      </c>
      <c r="AA66" s="335">
        <f t="shared" si="44"/>
        <v>2.177004964614071E-2</v>
      </c>
      <c r="AB66" s="335">
        <f t="shared" si="44"/>
        <v>2.1905578233432019E-2</v>
      </c>
      <c r="AC66" s="335">
        <f t="shared" si="44"/>
        <v>2.2040031642320816E-2</v>
      </c>
      <c r="AD66" s="335">
        <f t="shared" si="44"/>
        <v>2.2175632725456824E-2</v>
      </c>
      <c r="AE66" s="335">
        <f t="shared" si="44"/>
        <v>2.2308327992198368E-2</v>
      </c>
      <c r="AF66" s="335">
        <f t="shared" si="44"/>
        <v>2.2441476407310635E-2</v>
      </c>
      <c r="AG66" s="335">
        <f t="shared" si="44"/>
        <v>2.257655070694806E-2</v>
      </c>
      <c r="AH66" s="335">
        <f t="shared" ref="AH66:AL66" si="45">AH19/AH$49</f>
        <v>2.2711354493400015E-2</v>
      </c>
      <c r="AI66" s="335">
        <f t="shared" si="45"/>
        <v>2.2852503637240534E-2</v>
      </c>
      <c r="AJ66" s="335">
        <f t="shared" si="45"/>
        <v>2.29930279608811E-2</v>
      </c>
      <c r="AK66" s="335">
        <f t="shared" si="45"/>
        <v>2.3139244492668E-2</v>
      </c>
      <c r="AL66" s="335">
        <f t="shared" si="45"/>
        <v>2.3275567943167149E-2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3">
      <c r="L67" s="232" t="str">
        <f>'Occ T3'!A22</f>
        <v>35 Business and public service associate professionals</v>
      </c>
      <c r="M67" s="335">
        <f t="shared" ref="M67:AG67" si="46">M20/M$49</f>
        <v>6.4656820230456061E-2</v>
      </c>
      <c r="N67" s="335">
        <f t="shared" si="46"/>
        <v>6.0385998045271512E-2</v>
      </c>
      <c r="O67" s="335">
        <f t="shared" si="46"/>
        <v>6.2211375985119902E-2</v>
      </c>
      <c r="P67" s="335">
        <f t="shared" si="46"/>
        <v>6.1968122196310725E-2</v>
      </c>
      <c r="Q67" s="335">
        <f t="shared" si="46"/>
        <v>6.2999871781071248E-2</v>
      </c>
      <c r="R67" s="335">
        <f t="shared" si="46"/>
        <v>6.2635402497794895E-2</v>
      </c>
      <c r="S67" s="335">
        <f t="shared" si="46"/>
        <v>6.3089372600776863E-2</v>
      </c>
      <c r="T67" s="335">
        <f t="shared" si="46"/>
        <v>6.3567590989890843E-2</v>
      </c>
      <c r="U67" s="335">
        <f t="shared" si="46"/>
        <v>6.3247820692517151E-2</v>
      </c>
      <c r="V67" s="335">
        <f t="shared" si="46"/>
        <v>6.4026699914587842E-2</v>
      </c>
      <c r="W67" s="335">
        <f t="shared" si="46"/>
        <v>6.6694567182802117E-2</v>
      </c>
      <c r="X67" s="335">
        <f t="shared" si="46"/>
        <v>6.2564372786238207E-2</v>
      </c>
      <c r="Y67" s="335">
        <f t="shared" si="46"/>
        <v>6.2608410928120806E-2</v>
      </c>
      <c r="Z67" s="335">
        <f t="shared" si="46"/>
        <v>6.2616107538026586E-2</v>
      </c>
      <c r="AA67" s="335">
        <f t="shared" si="46"/>
        <v>6.2621236900449281E-2</v>
      </c>
      <c r="AB67" s="335">
        <f t="shared" si="46"/>
        <v>6.2629901309959823E-2</v>
      </c>
      <c r="AC67" s="335">
        <f t="shared" si="46"/>
        <v>6.2641740914017377E-2</v>
      </c>
      <c r="AD67" s="335">
        <f t="shared" si="46"/>
        <v>6.2653503070562055E-2</v>
      </c>
      <c r="AE67" s="335">
        <f t="shared" si="46"/>
        <v>6.266586640436396E-2</v>
      </c>
      <c r="AF67" s="335">
        <f t="shared" si="46"/>
        <v>6.2676499716063663E-2</v>
      </c>
      <c r="AG67" s="335">
        <f t="shared" si="46"/>
        <v>6.2687019650443654E-2</v>
      </c>
      <c r="AH67" s="335">
        <f t="shared" ref="AH67:AL67" si="47">AH20/AH$49</f>
        <v>6.2694480854464205E-2</v>
      </c>
      <c r="AI67" s="335">
        <f t="shared" si="47"/>
        <v>6.2705498058840764E-2</v>
      </c>
      <c r="AJ67" s="335">
        <f t="shared" si="47"/>
        <v>6.2713912804754982E-2</v>
      </c>
      <c r="AK67" s="335">
        <f t="shared" si="47"/>
        <v>6.2725056608074356E-2</v>
      </c>
      <c r="AL67" s="335">
        <f t="shared" si="47"/>
        <v>6.2733087937056786E-2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3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3">
      <c r="L69" s="16" t="str">
        <f>'Occ T3'!A24</f>
        <v>Administrative and secretarial occupations</v>
      </c>
      <c r="M69" s="336">
        <f t="shared" ref="M69:AG69" si="48">M22/M$49</f>
        <v>0.11611471140817151</v>
      </c>
      <c r="N69" s="336">
        <f t="shared" si="48"/>
        <v>0.11410042814334487</v>
      </c>
      <c r="O69" s="336">
        <f t="shared" si="48"/>
        <v>0.11351543632333271</v>
      </c>
      <c r="P69" s="336">
        <f t="shared" si="48"/>
        <v>0.11109833999356659</v>
      </c>
      <c r="Q69" s="336">
        <f t="shared" si="48"/>
        <v>0.11027353723783551</v>
      </c>
      <c r="R69" s="336">
        <f t="shared" si="48"/>
        <v>0.10990629734659034</v>
      </c>
      <c r="S69" s="336">
        <f t="shared" si="48"/>
        <v>0.10477224297492219</v>
      </c>
      <c r="T69" s="336">
        <f t="shared" si="48"/>
        <v>0.10715355407975026</v>
      </c>
      <c r="U69" s="336">
        <f t="shared" si="48"/>
        <v>0.10532153558017261</v>
      </c>
      <c r="V69" s="336">
        <f t="shared" si="48"/>
        <v>0.10131171816117686</v>
      </c>
      <c r="W69" s="336">
        <f t="shared" si="48"/>
        <v>0.1053939704739448</v>
      </c>
      <c r="X69" s="336">
        <f t="shared" si="48"/>
        <v>0.10107841403045667</v>
      </c>
      <c r="Y69" s="336">
        <f t="shared" si="48"/>
        <v>9.9990333528036754E-2</v>
      </c>
      <c r="Z69" s="336">
        <f t="shared" si="48"/>
        <v>9.8827074905321249E-2</v>
      </c>
      <c r="AA69" s="336">
        <f t="shared" si="48"/>
        <v>9.7675456315326439E-2</v>
      </c>
      <c r="AB69" s="336">
        <f t="shared" si="48"/>
        <v>9.6536898855905051E-2</v>
      </c>
      <c r="AC69" s="336">
        <f t="shared" si="48"/>
        <v>9.538747597387974E-2</v>
      </c>
      <c r="AD69" s="336">
        <f t="shared" si="48"/>
        <v>9.4240219394646579E-2</v>
      </c>
      <c r="AE69" s="336">
        <f t="shared" si="48"/>
        <v>9.3099866401311127E-2</v>
      </c>
      <c r="AF69" s="336">
        <f t="shared" si="48"/>
        <v>9.194570123628619E-2</v>
      </c>
      <c r="AG69" s="336">
        <f t="shared" si="48"/>
        <v>9.0769929062999827E-2</v>
      </c>
      <c r="AH69" s="336">
        <f t="shared" ref="AH69:AL69" si="49">AH22/AH$49</f>
        <v>8.9593877408054107E-2</v>
      </c>
      <c r="AI69" s="336">
        <f t="shared" si="49"/>
        <v>8.8401707321966866E-2</v>
      </c>
      <c r="AJ69" s="336">
        <f t="shared" si="49"/>
        <v>8.7202749705742599E-2</v>
      </c>
      <c r="AK69" s="336">
        <f t="shared" si="49"/>
        <v>8.600169259128515E-2</v>
      </c>
      <c r="AL69" s="336">
        <f t="shared" si="49"/>
        <v>8.4818033602819767E-2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3">
      <c r="L70" s="232" t="str">
        <f>'Occ T3'!A25</f>
        <v>41 Administrative occupations</v>
      </c>
      <c r="M70" s="335">
        <f t="shared" ref="M70:AG70" si="50">M23/M$49</f>
        <v>8.8348109147880938E-2</v>
      </c>
      <c r="N70" s="335">
        <f t="shared" si="50"/>
        <v>8.8965249043971947E-2</v>
      </c>
      <c r="O70" s="335">
        <f t="shared" si="50"/>
        <v>8.923603160865537E-2</v>
      </c>
      <c r="P70" s="335">
        <f t="shared" si="50"/>
        <v>8.6228046360798435E-2</v>
      </c>
      <c r="Q70" s="335">
        <f t="shared" si="50"/>
        <v>8.6134452703637496E-2</v>
      </c>
      <c r="R70" s="335">
        <f t="shared" si="50"/>
        <v>8.7566111389218187E-2</v>
      </c>
      <c r="S70" s="335">
        <f t="shared" si="50"/>
        <v>8.3847379152355364E-2</v>
      </c>
      <c r="T70" s="335">
        <f t="shared" si="50"/>
        <v>8.5685492887840303E-2</v>
      </c>
      <c r="U70" s="335">
        <f t="shared" si="50"/>
        <v>8.3652683834096964E-2</v>
      </c>
      <c r="V70" s="335">
        <f t="shared" si="50"/>
        <v>8.1839340738481425E-2</v>
      </c>
      <c r="W70" s="335">
        <f t="shared" si="50"/>
        <v>8.621639634476784E-2</v>
      </c>
      <c r="X70" s="335">
        <f t="shared" si="50"/>
        <v>7.987360607760742E-2</v>
      </c>
      <c r="Y70" s="335">
        <f t="shared" si="50"/>
        <v>7.922535546127181E-2</v>
      </c>
      <c r="Z70" s="335">
        <f t="shared" si="50"/>
        <v>7.8522372130265972E-2</v>
      </c>
      <c r="AA70" s="335">
        <f t="shared" si="50"/>
        <v>7.7827962329157216E-2</v>
      </c>
      <c r="AB70" s="335">
        <f t="shared" si="50"/>
        <v>7.7135854836225315E-2</v>
      </c>
      <c r="AC70" s="335">
        <f t="shared" si="50"/>
        <v>7.6445454747073316E-2</v>
      </c>
      <c r="AD70" s="335">
        <f t="shared" si="50"/>
        <v>7.5753516122664954E-2</v>
      </c>
      <c r="AE70" s="335">
        <f t="shared" si="50"/>
        <v>7.5062880229783704E-2</v>
      </c>
      <c r="AF70" s="335">
        <f t="shared" si="50"/>
        <v>7.4368442657357717E-2</v>
      </c>
      <c r="AG70" s="335">
        <f t="shared" si="50"/>
        <v>7.3669561291732757E-2</v>
      </c>
      <c r="AH70" s="335">
        <f t="shared" ref="AH70:AL70" si="51">AH23/AH$49</f>
        <v>7.2956255737554099E-2</v>
      </c>
      <c r="AI70" s="335">
        <f t="shared" si="51"/>
        <v>7.2237790455247711E-2</v>
      </c>
      <c r="AJ70" s="335">
        <f t="shared" si="51"/>
        <v>7.1510573836697983E-2</v>
      </c>
      <c r="AK70" s="335">
        <f t="shared" si="51"/>
        <v>7.078277636713419E-2</v>
      </c>
      <c r="AL70" s="335">
        <f t="shared" si="51"/>
        <v>7.0054530454517885E-2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3">
      <c r="L71" s="232" t="str">
        <f>'Occ T3'!A26</f>
        <v>42 Secretarial and related occupations</v>
      </c>
      <c r="M71" s="335">
        <f t="shared" ref="M71:AG71" si="52">M24/M$49</f>
        <v>2.7766602260290561E-2</v>
      </c>
      <c r="N71" s="335">
        <f t="shared" si="52"/>
        <v>2.513517909937292E-2</v>
      </c>
      <c r="O71" s="335">
        <f t="shared" si="52"/>
        <v>2.4279404714677339E-2</v>
      </c>
      <c r="P71" s="335">
        <f t="shared" si="52"/>
        <v>2.4870293632768152E-2</v>
      </c>
      <c r="Q71" s="335">
        <f t="shared" si="52"/>
        <v>2.4139084534198007E-2</v>
      </c>
      <c r="R71" s="335">
        <f t="shared" si="52"/>
        <v>2.2340185957372156E-2</v>
      </c>
      <c r="S71" s="335">
        <f t="shared" si="52"/>
        <v>2.0924863822566822E-2</v>
      </c>
      <c r="T71" s="335">
        <f t="shared" si="52"/>
        <v>2.1468061191909946E-2</v>
      </c>
      <c r="U71" s="335">
        <f t="shared" si="52"/>
        <v>2.1668851746075635E-2</v>
      </c>
      <c r="V71" s="335">
        <f t="shared" si="52"/>
        <v>1.947237742269544E-2</v>
      </c>
      <c r="W71" s="335">
        <f t="shared" si="52"/>
        <v>1.9177574129176953E-2</v>
      </c>
      <c r="X71" s="335">
        <f t="shared" si="52"/>
        <v>2.1204807952849253E-2</v>
      </c>
      <c r="Y71" s="335">
        <f t="shared" si="52"/>
        <v>2.0764978066764941E-2</v>
      </c>
      <c r="Z71" s="335">
        <f t="shared" si="52"/>
        <v>2.0304702775055278E-2</v>
      </c>
      <c r="AA71" s="335">
        <f t="shared" si="52"/>
        <v>1.9847493986169223E-2</v>
      </c>
      <c r="AB71" s="335">
        <f t="shared" si="52"/>
        <v>1.9401044019679722E-2</v>
      </c>
      <c r="AC71" s="335">
        <f t="shared" si="52"/>
        <v>1.8942021226806424E-2</v>
      </c>
      <c r="AD71" s="335">
        <f t="shared" si="52"/>
        <v>1.8486703271981621E-2</v>
      </c>
      <c r="AE71" s="335">
        <f t="shared" si="52"/>
        <v>1.8036986171527433E-2</v>
      </c>
      <c r="AF71" s="335">
        <f t="shared" si="52"/>
        <v>1.7577258578928466E-2</v>
      </c>
      <c r="AG71" s="335">
        <f t="shared" si="52"/>
        <v>1.7100367771267059E-2</v>
      </c>
      <c r="AH71" s="335">
        <f t="shared" ref="AH71:AL71" si="53">AH24/AH$49</f>
        <v>1.6637621670500004E-2</v>
      </c>
      <c r="AI71" s="335">
        <f t="shared" si="53"/>
        <v>1.6163916866719148E-2</v>
      </c>
      <c r="AJ71" s="335">
        <f t="shared" si="53"/>
        <v>1.5692175869044613E-2</v>
      </c>
      <c r="AK71" s="335">
        <f t="shared" si="53"/>
        <v>1.5218916224150968E-2</v>
      </c>
      <c r="AL71" s="335">
        <f t="shared" si="53"/>
        <v>1.4763503148301892E-2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3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3">
      <c r="L73" s="16" t="str">
        <f>'Occ T3'!A28</f>
        <v>Skilled trades occupations</v>
      </c>
      <c r="M73" s="336">
        <f t="shared" ref="M73:AG73" si="54">M26/M$49</f>
        <v>0.10264659369563087</v>
      </c>
      <c r="N73" s="336">
        <f t="shared" si="54"/>
        <v>0.10176497553535789</v>
      </c>
      <c r="O73" s="336">
        <f t="shared" si="54"/>
        <v>9.9461213367399548E-2</v>
      </c>
      <c r="P73" s="336">
        <f t="shared" si="54"/>
        <v>9.9446926085991955E-2</v>
      </c>
      <c r="Q73" s="336">
        <f t="shared" si="54"/>
        <v>0.10094056613921164</v>
      </c>
      <c r="R73" s="336">
        <f t="shared" si="54"/>
        <v>0.10084008974764555</v>
      </c>
      <c r="S73" s="336">
        <f t="shared" si="54"/>
        <v>9.7156810041248209E-2</v>
      </c>
      <c r="T73" s="336">
        <f t="shared" si="54"/>
        <v>9.7021006469132198E-2</v>
      </c>
      <c r="U73" s="336">
        <f t="shared" si="54"/>
        <v>9.3154225339128566E-2</v>
      </c>
      <c r="V73" s="336">
        <f t="shared" si="54"/>
        <v>9.4356538576228957E-2</v>
      </c>
      <c r="W73" s="336">
        <f t="shared" si="54"/>
        <v>8.4069158260457508E-2</v>
      </c>
      <c r="X73" s="336">
        <f t="shared" si="54"/>
        <v>8.5111799737499425E-2</v>
      </c>
      <c r="Y73" s="336">
        <f t="shared" si="54"/>
        <v>8.4554502286398325E-2</v>
      </c>
      <c r="Z73" s="336">
        <f t="shared" si="54"/>
        <v>8.4094852404592288E-2</v>
      </c>
      <c r="AA73" s="336">
        <f t="shared" si="54"/>
        <v>8.3603684887636184E-2</v>
      </c>
      <c r="AB73" s="336">
        <f t="shared" si="54"/>
        <v>8.3051814222844064E-2</v>
      </c>
      <c r="AC73" s="336">
        <f t="shared" si="54"/>
        <v>8.2514946091330532E-2</v>
      </c>
      <c r="AD73" s="336">
        <f t="shared" si="54"/>
        <v>8.1978867482648446E-2</v>
      </c>
      <c r="AE73" s="336">
        <f t="shared" si="54"/>
        <v>8.1443973034767747E-2</v>
      </c>
      <c r="AF73" s="336">
        <f t="shared" si="54"/>
        <v>8.0911060578258656E-2</v>
      </c>
      <c r="AG73" s="336">
        <f t="shared" si="54"/>
        <v>8.0387499971838652E-2</v>
      </c>
      <c r="AH73" s="336">
        <f t="shared" ref="AH73:AL73" si="55">AH26/AH$49</f>
        <v>7.9864572242495199E-2</v>
      </c>
      <c r="AI73" s="336">
        <f t="shared" si="55"/>
        <v>7.9341330935731744E-2</v>
      </c>
      <c r="AJ73" s="336">
        <f t="shared" si="55"/>
        <v>7.8817402866382988E-2</v>
      </c>
      <c r="AK73" s="336">
        <f t="shared" si="55"/>
        <v>7.8292745897036373E-2</v>
      </c>
      <c r="AL73" s="336">
        <f t="shared" si="55"/>
        <v>7.7771473319176901E-2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3">
      <c r="L74" s="232" t="str">
        <f>'Occ T3'!A29</f>
        <v>51 Skilled agricultural and related trades</v>
      </c>
      <c r="M74" s="335">
        <f t="shared" ref="M74:AG74" si="56">M27/M$49</f>
        <v>1.0289068819308135E-2</v>
      </c>
      <c r="N74" s="335">
        <f t="shared" si="56"/>
        <v>1.0436773343511428E-2</v>
      </c>
      <c r="O74" s="335">
        <f t="shared" si="56"/>
        <v>1.072422255418169E-2</v>
      </c>
      <c r="P74" s="335">
        <f t="shared" si="56"/>
        <v>9.8562931511723649E-3</v>
      </c>
      <c r="Q74" s="335">
        <f t="shared" si="56"/>
        <v>1.0616525307020862E-2</v>
      </c>
      <c r="R74" s="335">
        <f t="shared" si="56"/>
        <v>1.0428421705441983E-2</v>
      </c>
      <c r="S74" s="335">
        <f t="shared" si="56"/>
        <v>1.0051052334928487E-2</v>
      </c>
      <c r="T74" s="335">
        <f t="shared" si="56"/>
        <v>9.2248349038362969E-3</v>
      </c>
      <c r="U74" s="335">
        <f t="shared" si="56"/>
        <v>9.3330115935641427E-3</v>
      </c>
      <c r="V74" s="335">
        <f t="shared" si="56"/>
        <v>1.0004641552381273E-2</v>
      </c>
      <c r="W74" s="335">
        <f t="shared" si="56"/>
        <v>9.0837589544911241E-3</v>
      </c>
      <c r="X74" s="335">
        <f t="shared" si="56"/>
        <v>8.8073522394894032E-3</v>
      </c>
      <c r="Y74" s="335">
        <f t="shared" si="56"/>
        <v>8.8445068461600208E-3</v>
      </c>
      <c r="Z74" s="335">
        <f t="shared" si="56"/>
        <v>8.9133021860186307E-3</v>
      </c>
      <c r="AA74" s="335">
        <f t="shared" si="56"/>
        <v>8.9835115368622556E-3</v>
      </c>
      <c r="AB74" s="335">
        <f t="shared" si="56"/>
        <v>9.0418189677427818E-3</v>
      </c>
      <c r="AC74" s="335">
        <f t="shared" si="56"/>
        <v>9.099423140327953E-3</v>
      </c>
      <c r="AD74" s="335">
        <f t="shared" si="56"/>
        <v>9.1562892631674875E-3</v>
      </c>
      <c r="AE74" s="335">
        <f t="shared" si="56"/>
        <v>9.2126169453562272E-3</v>
      </c>
      <c r="AF74" s="335">
        <f t="shared" si="56"/>
        <v>9.2690058355503636E-3</v>
      </c>
      <c r="AG74" s="335">
        <f t="shared" si="56"/>
        <v>9.3281749189361076E-3</v>
      </c>
      <c r="AH74" s="335">
        <f t="shared" ref="AH74:AL74" si="57">AH27/AH$49</f>
        <v>9.3891022990617249E-3</v>
      </c>
      <c r="AI74" s="335">
        <f t="shared" si="57"/>
        <v>9.4516688721128679E-3</v>
      </c>
      <c r="AJ74" s="335">
        <f t="shared" si="57"/>
        <v>9.515428190775747E-3</v>
      </c>
      <c r="AK74" s="335">
        <f t="shared" si="57"/>
        <v>9.5795456090382643E-3</v>
      </c>
      <c r="AL74" s="335">
        <f t="shared" si="57"/>
        <v>9.6456101221704792E-3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3">
      <c r="L75" s="232" t="str">
        <f>'Occ T3'!A30</f>
        <v>52 Skilled metal, electrical and electronic trades</v>
      </c>
      <c r="M75" s="335">
        <f t="shared" ref="M75:AG75" si="58">M28/M$49</f>
        <v>3.6136817902558523E-2</v>
      </c>
      <c r="N75" s="335">
        <f t="shared" si="58"/>
        <v>3.7256087314988605E-2</v>
      </c>
      <c r="O75" s="335">
        <f t="shared" si="58"/>
        <v>3.4949714634241354E-2</v>
      </c>
      <c r="P75" s="335">
        <f t="shared" si="58"/>
        <v>3.5710969639988925E-2</v>
      </c>
      <c r="Q75" s="335">
        <f t="shared" si="58"/>
        <v>3.6659388997867068E-2</v>
      </c>
      <c r="R75" s="335">
        <f t="shared" si="58"/>
        <v>3.6367644143597902E-2</v>
      </c>
      <c r="S75" s="335">
        <f t="shared" si="58"/>
        <v>3.5315355077788324E-2</v>
      </c>
      <c r="T75" s="335">
        <f t="shared" si="58"/>
        <v>3.4726778099693698E-2</v>
      </c>
      <c r="U75" s="335">
        <f t="shared" si="58"/>
        <v>3.4064964754053129E-2</v>
      </c>
      <c r="V75" s="335">
        <f t="shared" si="58"/>
        <v>3.5223013066878889E-2</v>
      </c>
      <c r="W75" s="335">
        <f t="shared" si="58"/>
        <v>3.1023629074777591E-2</v>
      </c>
      <c r="X75" s="335">
        <f t="shared" si="58"/>
        <v>3.1083556699487664E-2</v>
      </c>
      <c r="Y75" s="335">
        <f t="shared" si="58"/>
        <v>3.0807057363936085E-2</v>
      </c>
      <c r="Z75" s="335">
        <f t="shared" si="58"/>
        <v>3.0538555913829799E-2</v>
      </c>
      <c r="AA75" s="335">
        <f t="shared" si="58"/>
        <v>3.0260623974493171E-2</v>
      </c>
      <c r="AB75" s="335">
        <f t="shared" si="58"/>
        <v>2.9971107956323666E-2</v>
      </c>
      <c r="AC75" s="335">
        <f t="shared" si="58"/>
        <v>2.9685382828903439E-2</v>
      </c>
      <c r="AD75" s="335">
        <f t="shared" si="58"/>
        <v>2.9398900903907149E-2</v>
      </c>
      <c r="AE75" s="335">
        <f t="shared" si="58"/>
        <v>2.9117403840671165E-2</v>
      </c>
      <c r="AF75" s="335">
        <f t="shared" si="58"/>
        <v>2.8838804805725402E-2</v>
      </c>
      <c r="AG75" s="335">
        <f t="shared" si="58"/>
        <v>2.8564889264231362E-2</v>
      </c>
      <c r="AH75" s="335">
        <f t="shared" ref="AH75:AL75" si="59">AH28/AH$49</f>
        <v>2.8291946893831826E-2</v>
      </c>
      <c r="AI75" s="335">
        <f t="shared" si="59"/>
        <v>2.8021157680491206E-2</v>
      </c>
      <c r="AJ75" s="335">
        <f t="shared" si="59"/>
        <v>2.7749741805696719E-2</v>
      </c>
      <c r="AK75" s="335">
        <f t="shared" si="59"/>
        <v>2.7480118709198875E-2</v>
      </c>
      <c r="AL75" s="335">
        <f t="shared" si="59"/>
        <v>2.7211529126229556E-2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3">
      <c r="L76" s="232" t="str">
        <f>'Occ T3'!A31</f>
        <v>53 Skilled construction and building trades</v>
      </c>
      <c r="M76" s="335">
        <f t="shared" ref="M76:AG76" si="60">M29/M$49</f>
        <v>3.5439637063755101E-2</v>
      </c>
      <c r="N76" s="335">
        <f t="shared" si="60"/>
        <v>3.3270080492454224E-2</v>
      </c>
      <c r="O76" s="335">
        <f t="shared" si="60"/>
        <v>3.1911759174474238E-2</v>
      </c>
      <c r="P76" s="335">
        <f t="shared" si="60"/>
        <v>3.2368003700564411E-2</v>
      </c>
      <c r="Q76" s="335">
        <f t="shared" si="60"/>
        <v>3.1874006639891393E-2</v>
      </c>
      <c r="R76" s="335">
        <f t="shared" si="60"/>
        <v>3.2042901918290685E-2</v>
      </c>
      <c r="S76" s="335">
        <f t="shared" si="60"/>
        <v>3.0461084422635402E-2</v>
      </c>
      <c r="T76" s="335">
        <f t="shared" si="60"/>
        <v>3.1554253040406134E-2</v>
      </c>
      <c r="U76" s="335">
        <f t="shared" si="60"/>
        <v>2.9361886428905987E-2</v>
      </c>
      <c r="V76" s="335">
        <f t="shared" si="60"/>
        <v>3.0033581806341771E-2</v>
      </c>
      <c r="W76" s="335">
        <f t="shared" si="60"/>
        <v>2.5706005932205758E-2</v>
      </c>
      <c r="X76" s="335">
        <f t="shared" si="60"/>
        <v>2.7240925435894237E-2</v>
      </c>
      <c r="Y76" s="335">
        <f t="shared" si="60"/>
        <v>2.6980579946289648E-2</v>
      </c>
      <c r="Z76" s="335">
        <f t="shared" si="60"/>
        <v>2.6780937370319426E-2</v>
      </c>
      <c r="AA76" s="335">
        <f t="shared" si="60"/>
        <v>2.6563154461584183E-2</v>
      </c>
      <c r="AB76" s="335">
        <f t="shared" si="60"/>
        <v>2.6307730436150957E-2</v>
      </c>
      <c r="AC76" s="335">
        <f t="shared" si="60"/>
        <v>2.6056101735561259E-2</v>
      </c>
      <c r="AD76" s="335">
        <f t="shared" si="60"/>
        <v>2.5805069917414814E-2</v>
      </c>
      <c r="AE76" s="335">
        <f t="shared" si="60"/>
        <v>2.5554271917649116E-2</v>
      </c>
      <c r="AF76" s="335">
        <f t="shared" si="60"/>
        <v>2.5301149176126081E-2</v>
      </c>
      <c r="AG76" s="335">
        <f t="shared" si="60"/>
        <v>2.5050120049283725E-2</v>
      </c>
      <c r="AH76" s="335">
        <f t="shared" ref="AH76:AL76" si="61">AH29/AH$49</f>
        <v>2.479973158746767E-2</v>
      </c>
      <c r="AI76" s="335">
        <f t="shared" si="61"/>
        <v>2.454987836104482E-2</v>
      </c>
      <c r="AJ76" s="335">
        <f t="shared" si="61"/>
        <v>2.4300016229468504E-2</v>
      </c>
      <c r="AK76" s="335">
        <f t="shared" si="61"/>
        <v>2.4049761373964532E-2</v>
      </c>
      <c r="AL76" s="335">
        <f t="shared" si="61"/>
        <v>2.3798792511480201E-2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3">
      <c r="L77" s="232" t="str">
        <f>'Occ T3'!A32</f>
        <v>54 Textiles, printing and other skilled trades</v>
      </c>
      <c r="M77" s="335">
        <f t="shared" ref="M77:AG77" si="62">M30/M$49</f>
        <v>2.0781069910009102E-2</v>
      </c>
      <c r="N77" s="335">
        <f t="shared" si="62"/>
        <v>2.0802034384403638E-2</v>
      </c>
      <c r="O77" s="335">
        <f t="shared" si="62"/>
        <v>2.1875517004502257E-2</v>
      </c>
      <c r="P77" s="335">
        <f t="shared" si="62"/>
        <v>2.1511659594266239E-2</v>
      </c>
      <c r="Q77" s="335">
        <f t="shared" si="62"/>
        <v>2.1790645194432325E-2</v>
      </c>
      <c r="R77" s="335">
        <f t="shared" si="62"/>
        <v>2.200112198031498E-2</v>
      </c>
      <c r="S77" s="335">
        <f t="shared" si="62"/>
        <v>2.1329318205895988E-2</v>
      </c>
      <c r="T77" s="335">
        <f t="shared" si="62"/>
        <v>2.1515140425196075E-2</v>
      </c>
      <c r="U77" s="335">
        <f t="shared" si="62"/>
        <v>2.0394362562605323E-2</v>
      </c>
      <c r="V77" s="335">
        <f t="shared" si="62"/>
        <v>1.9095302150627037E-2</v>
      </c>
      <c r="W77" s="335">
        <f t="shared" si="62"/>
        <v>1.8255764298983047E-2</v>
      </c>
      <c r="X77" s="335">
        <f t="shared" si="62"/>
        <v>1.7979965362628126E-2</v>
      </c>
      <c r="Y77" s="335">
        <f t="shared" si="62"/>
        <v>1.7922358130012576E-2</v>
      </c>
      <c r="Z77" s="335">
        <f t="shared" si="62"/>
        <v>1.7862056934424435E-2</v>
      </c>
      <c r="AA77" s="335">
        <f t="shared" si="62"/>
        <v>1.7796394914696582E-2</v>
      </c>
      <c r="AB77" s="335">
        <f t="shared" si="62"/>
        <v>1.7731156862626659E-2</v>
      </c>
      <c r="AC77" s="335">
        <f t="shared" si="62"/>
        <v>1.7674038386537874E-2</v>
      </c>
      <c r="AD77" s="335">
        <f t="shared" si="62"/>
        <v>1.7618607398158986E-2</v>
      </c>
      <c r="AE77" s="335">
        <f t="shared" si="62"/>
        <v>1.7559680331091256E-2</v>
      </c>
      <c r="AF77" s="335">
        <f t="shared" si="62"/>
        <v>1.7502100760856825E-2</v>
      </c>
      <c r="AG77" s="335">
        <f t="shared" si="62"/>
        <v>1.7444315739387442E-2</v>
      </c>
      <c r="AH77" s="335">
        <f t="shared" ref="AH77:AL77" si="63">AH30/AH$49</f>
        <v>1.7383791462133976E-2</v>
      </c>
      <c r="AI77" s="335">
        <f t="shared" si="63"/>
        <v>1.7318626022082846E-2</v>
      </c>
      <c r="AJ77" s="335">
        <f t="shared" si="63"/>
        <v>1.7252216640442009E-2</v>
      </c>
      <c r="AK77" s="335">
        <f t="shared" si="63"/>
        <v>1.71833202048347E-2</v>
      </c>
      <c r="AL77" s="335">
        <f t="shared" si="63"/>
        <v>1.7115541559296663E-2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3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3">
      <c r="L79" s="16" t="str">
        <f>'Occ T3'!A34</f>
        <v>Caring, leisure and other service occupations</v>
      </c>
      <c r="M79" s="336">
        <f>M32/M$49</f>
        <v>9.4744001379455656E-2</v>
      </c>
      <c r="N79" s="336">
        <f t="shared" ref="N79:AG79" si="64">N32/N$49</f>
        <v>9.187837497499951E-2</v>
      </c>
      <c r="O79" s="336">
        <f t="shared" si="64"/>
        <v>9.1029118932225234E-2</v>
      </c>
      <c r="P79" s="336">
        <f t="shared" si="64"/>
        <v>9.2714869474260331E-2</v>
      </c>
      <c r="Q79" s="336">
        <f t="shared" si="64"/>
        <v>9.3209708293676266E-2</v>
      </c>
      <c r="R79" s="336">
        <f t="shared" si="64"/>
        <v>9.374863276806393E-2</v>
      </c>
      <c r="S79" s="336">
        <f t="shared" si="64"/>
        <v>9.4493883137619195E-2</v>
      </c>
      <c r="T79" s="336">
        <f t="shared" si="64"/>
        <v>9.3527895334279604E-2</v>
      </c>
      <c r="U79" s="336">
        <f t="shared" si="64"/>
        <v>9.1103909764815125E-2</v>
      </c>
      <c r="V79" s="336">
        <f t="shared" si="64"/>
        <v>9.2509791724131374E-2</v>
      </c>
      <c r="W79" s="336">
        <f t="shared" si="64"/>
        <v>8.9860098654564832E-2</v>
      </c>
      <c r="X79" s="336">
        <f t="shared" si="64"/>
        <v>9.203798341285388E-2</v>
      </c>
      <c r="Y79" s="336">
        <f t="shared" si="64"/>
        <v>9.2367689773451139E-2</v>
      </c>
      <c r="Z79" s="336">
        <f t="shared" si="64"/>
        <v>9.2656234310767666E-2</v>
      </c>
      <c r="AA79" s="336">
        <f t="shared" si="64"/>
        <v>9.2970216443932815E-2</v>
      </c>
      <c r="AB79" s="336">
        <f t="shared" si="64"/>
        <v>9.3317003106778706E-2</v>
      </c>
      <c r="AC79" s="336">
        <f t="shared" si="64"/>
        <v>9.3658543827133678E-2</v>
      </c>
      <c r="AD79" s="336">
        <f t="shared" si="64"/>
        <v>9.4003974052246558E-2</v>
      </c>
      <c r="AE79" s="336">
        <f t="shared" si="64"/>
        <v>9.4345302548732968E-2</v>
      </c>
      <c r="AF79" s="336">
        <f t="shared" si="64"/>
        <v>9.4691345100761271E-2</v>
      </c>
      <c r="AG79" s="336">
        <f t="shared" si="64"/>
        <v>9.5034554387749173E-2</v>
      </c>
      <c r="AH79" s="336">
        <f t="shared" ref="AH79:AL79" si="65">AH32/AH$49</f>
        <v>9.538147984175939E-2</v>
      </c>
      <c r="AI79" s="336">
        <f t="shared" si="65"/>
        <v>9.5731128298332649E-2</v>
      </c>
      <c r="AJ79" s="336">
        <f t="shared" si="65"/>
        <v>9.6084491576205897E-2</v>
      </c>
      <c r="AK79" s="336">
        <f t="shared" si="65"/>
        <v>9.6438519661677935E-2</v>
      </c>
      <c r="AL79" s="336">
        <f t="shared" si="65"/>
        <v>9.6791778755125096E-2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3">
      <c r="L80" s="232" t="str">
        <f>'Occ T3'!A35</f>
        <v>61 Caring personal service occupations</v>
      </c>
      <c r="M80" s="335">
        <f t="shared" ref="M80:AG80" si="66">M33/M$49</f>
        <v>7.1934825561154228E-2</v>
      </c>
      <c r="N80" s="335">
        <f t="shared" si="66"/>
        <v>6.810348276690735E-2</v>
      </c>
      <c r="O80" s="335">
        <f t="shared" si="66"/>
        <v>6.7923369520046795E-2</v>
      </c>
      <c r="P80" s="335">
        <f t="shared" si="66"/>
        <v>6.9578090864236372E-2</v>
      </c>
      <c r="Q80" s="335">
        <f t="shared" si="66"/>
        <v>7.0410574745458643E-2</v>
      </c>
      <c r="R80" s="335">
        <f t="shared" si="66"/>
        <v>7.0848500427905498E-2</v>
      </c>
      <c r="S80" s="335">
        <f t="shared" si="66"/>
        <v>7.1842037252191612E-2</v>
      </c>
      <c r="T80" s="335">
        <f t="shared" si="66"/>
        <v>7.1012488539579838E-2</v>
      </c>
      <c r="U80" s="335">
        <f t="shared" si="66"/>
        <v>6.9045247786866687E-2</v>
      </c>
      <c r="V80" s="335">
        <f t="shared" si="66"/>
        <v>6.9169625277259172E-2</v>
      </c>
      <c r="W80" s="335">
        <f t="shared" si="66"/>
        <v>6.7850170377465713E-2</v>
      </c>
      <c r="X80" s="335">
        <f t="shared" si="66"/>
        <v>7.0379828182367307E-2</v>
      </c>
      <c r="Y80" s="335">
        <f t="shared" si="66"/>
        <v>7.0729685908112155E-2</v>
      </c>
      <c r="Z80" s="335">
        <f t="shared" si="66"/>
        <v>7.1032529541355471E-2</v>
      </c>
      <c r="AA80" s="335">
        <f t="shared" si="66"/>
        <v>7.1355027432771972E-2</v>
      </c>
      <c r="AB80" s="335">
        <f t="shared" si="66"/>
        <v>7.1707146682696968E-2</v>
      </c>
      <c r="AC80" s="335">
        <f t="shared" si="66"/>
        <v>7.2055472428540324E-2</v>
      </c>
      <c r="AD80" s="335">
        <f t="shared" si="66"/>
        <v>7.2406808330724326E-2</v>
      </c>
      <c r="AE80" s="335">
        <f t="shared" si="66"/>
        <v>7.27545221978734E-2</v>
      </c>
      <c r="AF80" s="335">
        <f t="shared" si="66"/>
        <v>7.3108285266925824E-2</v>
      </c>
      <c r="AG80" s="335">
        <f t="shared" si="66"/>
        <v>7.3462412556532714E-2</v>
      </c>
      <c r="AH80" s="335">
        <f t="shared" ref="AH80:AL80" si="67">AH33/AH$49</f>
        <v>7.3822790947386072E-2</v>
      </c>
      <c r="AI80" s="335">
        <f t="shared" si="67"/>
        <v>7.4185147532933871E-2</v>
      </c>
      <c r="AJ80" s="335">
        <f t="shared" si="67"/>
        <v>7.4549332033939819E-2</v>
      </c>
      <c r="AK80" s="335">
        <f t="shared" si="67"/>
        <v>7.4915290120899092E-2</v>
      </c>
      <c r="AL80" s="335">
        <f t="shared" si="67"/>
        <v>7.5280477113054051E-2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3">
      <c r="L81" s="232" t="str">
        <f>'Occ T3'!A36</f>
        <v>62 Leisure, travel and related personal service occupations</v>
      </c>
      <c r="M81" s="335">
        <f t="shared" ref="M81:AG82" si="68">M34/M$49</f>
        <v>2.1206084662083336E-2</v>
      </c>
      <c r="N81" s="335">
        <f t="shared" si="68"/>
        <v>2.2635830097004952E-2</v>
      </c>
      <c r="O81" s="335">
        <f t="shared" si="68"/>
        <v>2.2011221481484711E-2</v>
      </c>
      <c r="P81" s="335">
        <f t="shared" si="68"/>
        <v>2.2155540494289937E-2</v>
      </c>
      <c r="Q81" s="335">
        <f t="shared" si="68"/>
        <v>2.1712398453085535E-2</v>
      </c>
      <c r="R81" s="335">
        <f t="shared" si="68"/>
        <v>2.1893709548433636E-2</v>
      </c>
      <c r="S81" s="335">
        <f t="shared" si="68"/>
        <v>2.1807017225997982E-2</v>
      </c>
      <c r="T81" s="335">
        <f t="shared" si="68"/>
        <v>2.1625245814022389E-2</v>
      </c>
      <c r="U81" s="335">
        <f t="shared" si="68"/>
        <v>2.1149501444739836E-2</v>
      </c>
      <c r="V81" s="335">
        <f t="shared" si="68"/>
        <v>2.2516824905742285E-2</v>
      </c>
      <c r="W81" s="335">
        <f t="shared" si="68"/>
        <v>2.0946873939409968E-2</v>
      </c>
      <c r="X81" s="335">
        <f t="shared" si="68"/>
        <v>2.0835338697740655E-2</v>
      </c>
      <c r="Y81" s="335">
        <f t="shared" si="68"/>
        <v>2.0810541411143423E-2</v>
      </c>
      <c r="Z81" s="335">
        <f t="shared" si="68"/>
        <v>2.0792628537262249E-2</v>
      </c>
      <c r="AA81" s="335">
        <f t="shared" si="68"/>
        <v>2.0780533986473806E-2</v>
      </c>
      <c r="AB81" s="335">
        <f t="shared" si="68"/>
        <v>2.0771954592877465E-2</v>
      </c>
      <c r="AC81" s="335">
        <f t="shared" si="68"/>
        <v>2.0762153636033859E-2</v>
      </c>
      <c r="AD81" s="335">
        <f t="shared" si="68"/>
        <v>2.0753328727672108E-2</v>
      </c>
      <c r="AE81" s="335">
        <f t="shared" si="68"/>
        <v>2.0744056525998353E-2</v>
      </c>
      <c r="AF81" s="335">
        <f t="shared" si="68"/>
        <v>2.0733130857183625E-2</v>
      </c>
      <c r="AG81" s="335">
        <f t="shared" si="68"/>
        <v>2.0719170640058491E-2</v>
      </c>
      <c r="AH81" s="335">
        <f t="shared" ref="AH81:AL81" si="69">AH34/AH$49</f>
        <v>2.0702718229989283E-2</v>
      </c>
      <c r="AI81" s="335">
        <f t="shared" si="69"/>
        <v>2.0687197562984275E-2</v>
      </c>
      <c r="AJ81" s="335">
        <f t="shared" si="69"/>
        <v>2.0673250838800682E-2</v>
      </c>
      <c r="AK81" s="335">
        <f t="shared" si="69"/>
        <v>2.0658585018909478E-2</v>
      </c>
      <c r="AL81" s="335">
        <f t="shared" si="69"/>
        <v>2.0643842692040417E-2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3">
      <c r="L82" s="232" t="str">
        <f>'Occ T3'!A37</f>
        <v>63 Community and civil enforcement occupations</v>
      </c>
      <c r="M82" s="335">
        <f>M35/M$49</f>
        <v>1.6030911562180789E-3</v>
      </c>
      <c r="N82" s="335">
        <f t="shared" si="68"/>
        <v>1.1390621110872216E-3</v>
      </c>
      <c r="O82" s="335">
        <f t="shared" si="68"/>
        <v>1.0945279306937201E-3</v>
      </c>
      <c r="P82" s="335">
        <f t="shared" si="68"/>
        <v>9.8123811573401411E-4</v>
      </c>
      <c r="Q82" s="335">
        <f t="shared" si="68"/>
        <v>1.0867350951320901E-3</v>
      </c>
      <c r="R82" s="335">
        <f t="shared" si="68"/>
        <v>1.0064227917247976E-3</v>
      </c>
      <c r="S82" s="335">
        <f t="shared" si="68"/>
        <v>8.4482865942961361E-4</v>
      </c>
      <c r="T82" s="335">
        <f t="shared" si="68"/>
        <v>8.901609806773788E-4</v>
      </c>
      <c r="U82" s="335">
        <f t="shared" si="68"/>
        <v>9.0916053320859295E-4</v>
      </c>
      <c r="V82" s="335">
        <f t="shared" si="68"/>
        <v>8.2334154112991248E-4</v>
      </c>
      <c r="W82" s="335">
        <f t="shared" si="68"/>
        <v>1.06305433768916E-3</v>
      </c>
      <c r="X82" s="335">
        <f t="shared" si="68"/>
        <v>8.2281653274589967E-4</v>
      </c>
      <c r="Y82" s="335">
        <f t="shared" si="68"/>
        <v>8.2746245419556435E-4</v>
      </c>
      <c r="Z82" s="335">
        <f t="shared" si="68"/>
        <v>8.3107623214994264E-4</v>
      </c>
      <c r="AA82" s="335">
        <f t="shared" si="68"/>
        <v>8.3465502468702988E-4</v>
      </c>
      <c r="AB82" s="335">
        <f t="shared" si="68"/>
        <v>8.3790183120428655E-4</v>
      </c>
      <c r="AC82" s="335">
        <f t="shared" si="68"/>
        <v>8.4091776255950583E-4</v>
      </c>
      <c r="AD82" s="335">
        <f t="shared" si="68"/>
        <v>8.4383699385011824E-4</v>
      </c>
      <c r="AE82" s="335">
        <f t="shared" si="68"/>
        <v>8.4672382486121261E-4</v>
      </c>
      <c r="AF82" s="335">
        <f t="shared" si="68"/>
        <v>8.4992897665182182E-4</v>
      </c>
      <c r="AG82" s="335">
        <f t="shared" si="68"/>
        <v>8.529711911579701E-4</v>
      </c>
      <c r="AH82" s="335">
        <f t="shared" ref="AH82:AL82" si="70">AH35/AH$49</f>
        <v>8.5597066438402323E-4</v>
      </c>
      <c r="AI82" s="335">
        <f t="shared" si="70"/>
        <v>8.5878320241451419E-4</v>
      </c>
      <c r="AJ82" s="335">
        <f t="shared" si="70"/>
        <v>8.6190870346539064E-4</v>
      </c>
      <c r="AK82" s="335">
        <f t="shared" si="70"/>
        <v>8.6464452186937153E-4</v>
      </c>
      <c r="AL82" s="335">
        <f t="shared" si="70"/>
        <v>8.6745895003062393E-4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3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3">
      <c r="L84" s="16" t="str">
        <f>'Occ T3'!A39</f>
        <v>Sales and customer service occupations</v>
      </c>
      <c r="M84" s="336">
        <f t="shared" ref="M84:AG84" si="71">M37/M$49</f>
        <v>8.4223205133026668E-2</v>
      </c>
      <c r="N84" s="336">
        <f t="shared" si="71"/>
        <v>8.85327277461158E-2</v>
      </c>
      <c r="O84" s="336">
        <f t="shared" si="71"/>
        <v>9.0310513676560608E-2</v>
      </c>
      <c r="P84" s="336">
        <f t="shared" si="71"/>
        <v>8.7706348828915023E-2</v>
      </c>
      <c r="Q84" s="336">
        <f t="shared" si="71"/>
        <v>8.6000829397859552E-2</v>
      </c>
      <c r="R84" s="336">
        <f t="shared" si="71"/>
        <v>8.555625148645879E-2</v>
      </c>
      <c r="S84" s="336">
        <f t="shared" si="71"/>
        <v>8.485449278417255E-2</v>
      </c>
      <c r="T84" s="336">
        <f t="shared" si="71"/>
        <v>8.3182210070325918E-2</v>
      </c>
      <c r="U84" s="336">
        <f t="shared" si="71"/>
        <v>8.1784269134784843E-2</v>
      </c>
      <c r="V84" s="336">
        <f t="shared" si="71"/>
        <v>7.914080289441984E-2</v>
      </c>
      <c r="W84" s="336">
        <f t="shared" si="71"/>
        <v>7.9114484901403881E-2</v>
      </c>
      <c r="X84" s="336">
        <f t="shared" si="71"/>
        <v>7.83681991584044E-2</v>
      </c>
      <c r="Y84" s="336">
        <f t="shared" si="71"/>
        <v>7.8127050343265447E-2</v>
      </c>
      <c r="Z84" s="336">
        <f t="shared" si="71"/>
        <v>7.7861635721819686E-2</v>
      </c>
      <c r="AA84" s="336">
        <f t="shared" si="71"/>
        <v>7.7605277868910805E-2</v>
      </c>
      <c r="AB84" s="336">
        <f t="shared" si="71"/>
        <v>7.7358457405174899E-2</v>
      </c>
      <c r="AC84" s="336">
        <f t="shared" si="71"/>
        <v>7.7098575061043798E-2</v>
      </c>
      <c r="AD84" s="336">
        <f t="shared" si="71"/>
        <v>7.6835467755739476E-2</v>
      </c>
      <c r="AE84" s="336">
        <f t="shared" si="71"/>
        <v>7.6562142032310307E-2</v>
      </c>
      <c r="AF84" s="336">
        <f t="shared" si="71"/>
        <v>7.6284787618904795E-2</v>
      </c>
      <c r="AG84" s="336">
        <f t="shared" si="71"/>
        <v>7.59894369920288E-2</v>
      </c>
      <c r="AH84" s="336">
        <f t="shared" ref="AH84:AL84" si="72">AH37/AH$49</f>
        <v>7.5693605588979626E-2</v>
      </c>
      <c r="AI84" s="336">
        <f t="shared" si="72"/>
        <v>7.5397219406995827E-2</v>
      </c>
      <c r="AJ84" s="336">
        <f t="shared" si="72"/>
        <v>7.5096151098886788E-2</v>
      </c>
      <c r="AK84" s="336">
        <f t="shared" si="72"/>
        <v>7.4792049744172431E-2</v>
      </c>
      <c r="AL84" s="336">
        <f t="shared" si="72"/>
        <v>7.4486701231952834E-2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3">
      <c r="L85" s="232" t="str">
        <f>'Occ T3'!A40</f>
        <v>71 Sales occupations</v>
      </c>
      <c r="M85" s="335">
        <f t="shared" ref="M85:AG85" si="73">M38/M$49</f>
        <v>6.8441522588352191E-2</v>
      </c>
      <c r="N85" s="335">
        <f t="shared" si="73"/>
        <v>7.2804964732101587E-2</v>
      </c>
      <c r="O85" s="335">
        <f t="shared" si="73"/>
        <v>7.4539114984312788E-2</v>
      </c>
      <c r="P85" s="335">
        <f t="shared" si="73"/>
        <v>7.2038594729076505E-2</v>
      </c>
      <c r="Q85" s="335">
        <f t="shared" si="73"/>
        <v>7.1278911905853753E-2</v>
      </c>
      <c r="R85" s="335">
        <f t="shared" si="73"/>
        <v>6.9517971179559934E-2</v>
      </c>
      <c r="S85" s="335">
        <f t="shared" si="73"/>
        <v>6.9460398355982722E-2</v>
      </c>
      <c r="T85" s="335">
        <f t="shared" si="73"/>
        <v>6.6551332423818388E-2</v>
      </c>
      <c r="U85" s="335">
        <f t="shared" si="73"/>
        <v>6.4773481755398099E-2</v>
      </c>
      <c r="V85" s="335">
        <f t="shared" si="73"/>
        <v>6.2630259301595437E-2</v>
      </c>
      <c r="W85" s="335">
        <f t="shared" si="73"/>
        <v>6.2033707691931374E-2</v>
      </c>
      <c r="X85" s="335">
        <f t="shared" si="73"/>
        <v>5.7849601977025066E-2</v>
      </c>
      <c r="Y85" s="335">
        <f t="shared" si="73"/>
        <v>5.7391495900796015E-2</v>
      </c>
      <c r="Z85" s="335">
        <f t="shared" si="73"/>
        <v>5.6921966911389468E-2</v>
      </c>
      <c r="AA85" s="335">
        <f t="shared" si="73"/>
        <v>5.6460744706186311E-2</v>
      </c>
      <c r="AB85" s="335">
        <f t="shared" si="73"/>
        <v>5.6006997169518027E-2</v>
      </c>
      <c r="AC85" s="335">
        <f t="shared" si="73"/>
        <v>5.5541465992411651E-2</v>
      </c>
      <c r="AD85" s="335">
        <f t="shared" si="73"/>
        <v>5.5074092133644177E-2</v>
      </c>
      <c r="AE85" s="335">
        <f t="shared" si="73"/>
        <v>5.4596778274342554E-2</v>
      </c>
      <c r="AF85" s="335">
        <f t="shared" si="73"/>
        <v>5.4115487888627981E-2</v>
      </c>
      <c r="AG85" s="335">
        <f t="shared" si="73"/>
        <v>5.3616009123870892E-2</v>
      </c>
      <c r="AH85" s="335">
        <f t="shared" ref="AH85:AL85" si="74">AH38/AH$49</f>
        <v>5.3117139521603497E-2</v>
      </c>
      <c r="AI85" s="335">
        <f t="shared" si="74"/>
        <v>5.2618057208164266E-2</v>
      </c>
      <c r="AJ85" s="335">
        <f t="shared" si="74"/>
        <v>5.2115250090501997E-2</v>
      </c>
      <c r="AK85" s="335">
        <f t="shared" si="74"/>
        <v>5.1608439371002103E-2</v>
      </c>
      <c r="AL85" s="335">
        <f t="shared" si="74"/>
        <v>5.110211006470234E-2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3">
      <c r="L86" s="232" t="str">
        <f>'Occ T3'!A41</f>
        <v>72 Customer service occupations</v>
      </c>
      <c r="M86" s="335">
        <f>M39/M$49</f>
        <v>1.5781682544674481E-2</v>
      </c>
      <c r="N86" s="335">
        <f t="shared" ref="N86:AG86" si="75">N39/N$49</f>
        <v>1.5727763014014212E-2</v>
      </c>
      <c r="O86" s="335">
        <f t="shared" si="75"/>
        <v>1.5771398692247824E-2</v>
      </c>
      <c r="P86" s="335">
        <f t="shared" si="75"/>
        <v>1.5667754099838529E-2</v>
      </c>
      <c r="Q86" s="335">
        <f t="shared" si="75"/>
        <v>1.4721917492005791E-2</v>
      </c>
      <c r="R86" s="335">
        <f t="shared" si="75"/>
        <v>1.6038280306898862E-2</v>
      </c>
      <c r="S86" s="335">
        <f t="shared" si="75"/>
        <v>1.5394094428189824E-2</v>
      </c>
      <c r="T86" s="335">
        <f t="shared" si="75"/>
        <v>1.6630877646507541E-2</v>
      </c>
      <c r="U86" s="335">
        <f t="shared" si="75"/>
        <v>1.7010787379386747E-2</v>
      </c>
      <c r="V86" s="335">
        <f t="shared" si="75"/>
        <v>1.6510543592824396E-2</v>
      </c>
      <c r="W86" s="335">
        <f t="shared" si="75"/>
        <v>1.70807772094725E-2</v>
      </c>
      <c r="X86" s="335">
        <f t="shared" si="75"/>
        <v>2.0518597181379342E-2</v>
      </c>
      <c r="Y86" s="335">
        <f t="shared" si="75"/>
        <v>2.0735554442469425E-2</v>
      </c>
      <c r="Z86" s="335">
        <f t="shared" si="75"/>
        <v>2.0939668810430214E-2</v>
      </c>
      <c r="AA86" s="335">
        <f t="shared" si="75"/>
        <v>2.1144533162724497E-2</v>
      </c>
      <c r="AB86" s="335">
        <f t="shared" si="75"/>
        <v>2.1351460235656861E-2</v>
      </c>
      <c r="AC86" s="335">
        <f t="shared" si="75"/>
        <v>2.155710906863215E-2</v>
      </c>
      <c r="AD86" s="335">
        <f t="shared" si="75"/>
        <v>2.1761375622095302E-2</v>
      </c>
      <c r="AE86" s="335">
        <f t="shared" si="75"/>
        <v>2.1965363757967749E-2</v>
      </c>
      <c r="AF86" s="335">
        <f t="shared" si="75"/>
        <v>2.2169299730276808E-2</v>
      </c>
      <c r="AG86" s="335">
        <f t="shared" si="75"/>
        <v>2.2373427868157901E-2</v>
      </c>
      <c r="AH86" s="335">
        <f t="shared" ref="AH86:AL86" si="76">AH39/AH$49</f>
        <v>2.2576466067376122E-2</v>
      </c>
      <c r="AI86" s="335">
        <f t="shared" si="76"/>
        <v>2.2779162198831568E-2</v>
      </c>
      <c r="AJ86" s="335">
        <f t="shared" si="76"/>
        <v>2.2980901008384787E-2</v>
      </c>
      <c r="AK86" s="335">
        <f t="shared" si="76"/>
        <v>2.3183610373170339E-2</v>
      </c>
      <c r="AL86" s="335">
        <f t="shared" si="76"/>
        <v>2.3384591167250494E-2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3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3">
      <c r="L88" s="16" t="str">
        <f>'Occ T3'!A43</f>
        <v>Process, plant and machine operatives</v>
      </c>
      <c r="M88" s="336">
        <f t="shared" ref="M88:AG88" si="77">M41/M$49</f>
        <v>6.4281958031333714E-2</v>
      </c>
      <c r="N88" s="336">
        <f t="shared" si="77"/>
        <v>6.2876904997797758E-2</v>
      </c>
      <c r="O88" s="336">
        <f t="shared" si="77"/>
        <v>6.1641739732701269E-2</v>
      </c>
      <c r="P88" s="336">
        <f t="shared" si="77"/>
        <v>6.1792054929663387E-2</v>
      </c>
      <c r="Q88" s="336">
        <f t="shared" si="77"/>
        <v>6.1990847674748141E-2</v>
      </c>
      <c r="R88" s="336">
        <f t="shared" si="77"/>
        <v>6.1673474892747722E-2</v>
      </c>
      <c r="S88" s="336">
        <f t="shared" si="77"/>
        <v>6.3190616951896636E-2</v>
      </c>
      <c r="T88" s="336">
        <f t="shared" si="77"/>
        <v>6.2995975549371613E-2</v>
      </c>
      <c r="U88" s="336">
        <f t="shared" si="77"/>
        <v>6.3954045030751999E-2</v>
      </c>
      <c r="V88" s="336">
        <f t="shared" si="77"/>
        <v>6.191251921004913E-2</v>
      </c>
      <c r="W88" s="336">
        <f t="shared" si="77"/>
        <v>5.5664946463921616E-2</v>
      </c>
      <c r="X88" s="336">
        <f t="shared" si="77"/>
        <v>6.1953260399452509E-2</v>
      </c>
      <c r="Y88" s="336">
        <f t="shared" si="77"/>
        <v>6.1640631091637504E-2</v>
      </c>
      <c r="Z88" s="336">
        <f t="shared" si="77"/>
        <v>6.1354368785707263E-2</v>
      </c>
      <c r="AA88" s="336">
        <f t="shared" si="77"/>
        <v>6.1049997096466101E-2</v>
      </c>
      <c r="AB88" s="336">
        <f t="shared" si="77"/>
        <v>6.0736376998900568E-2</v>
      </c>
      <c r="AC88" s="336">
        <f t="shared" si="77"/>
        <v>6.0429297053086806E-2</v>
      </c>
      <c r="AD88" s="336">
        <f t="shared" si="77"/>
        <v>6.0119888624555182E-2</v>
      </c>
      <c r="AE88" s="336">
        <f t="shared" si="77"/>
        <v>5.9814336458641738E-2</v>
      </c>
      <c r="AF88" s="336">
        <f t="shared" si="77"/>
        <v>5.9511167460448197E-2</v>
      </c>
      <c r="AG88" s="336">
        <f t="shared" si="77"/>
        <v>5.9214381321716907E-2</v>
      </c>
      <c r="AH88" s="336">
        <f t="shared" ref="AH88:AL88" si="78">AH41/AH$49</f>
        <v>5.8919654968894959E-2</v>
      </c>
      <c r="AI88" s="336">
        <f t="shared" si="78"/>
        <v>5.8625723178491573E-2</v>
      </c>
      <c r="AJ88" s="336">
        <f t="shared" si="78"/>
        <v>5.8333871348438177E-2</v>
      </c>
      <c r="AK88" s="336">
        <f t="shared" si="78"/>
        <v>5.804085305571112E-2</v>
      </c>
      <c r="AL88" s="336">
        <f t="shared" si="78"/>
        <v>5.7751232151242851E-2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3">
      <c r="L89" s="232" t="str">
        <f>'Occ T3'!A44</f>
        <v>81 Process, plant and machine operatives</v>
      </c>
      <c r="M89" s="335">
        <f t="shared" ref="M89:AG89" si="79">M42/M$49</f>
        <v>2.5974484352697957E-2</v>
      </c>
      <c r="N89" s="335">
        <f t="shared" si="79"/>
        <v>2.4451196729913607E-2</v>
      </c>
      <c r="O89" s="335">
        <f t="shared" si="79"/>
        <v>2.4541740814632711E-2</v>
      </c>
      <c r="P89" s="335">
        <f t="shared" si="79"/>
        <v>2.5278745064184496E-2</v>
      </c>
      <c r="Q89" s="335">
        <f t="shared" si="79"/>
        <v>2.4872664812646581E-2</v>
      </c>
      <c r="R89" s="335">
        <f t="shared" si="79"/>
        <v>2.4892135987608751E-2</v>
      </c>
      <c r="S89" s="335">
        <f t="shared" si="79"/>
        <v>2.4141361452876736E-2</v>
      </c>
      <c r="T89" s="335">
        <f t="shared" si="79"/>
        <v>2.4712253163323879E-2</v>
      </c>
      <c r="U89" s="335">
        <f t="shared" si="79"/>
        <v>2.4712156652131768E-2</v>
      </c>
      <c r="V89" s="335">
        <f t="shared" si="79"/>
        <v>2.2894983532027371E-2</v>
      </c>
      <c r="W89" s="335">
        <f t="shared" si="79"/>
        <v>2.033785604275538E-2</v>
      </c>
      <c r="X89" s="335">
        <f t="shared" si="79"/>
        <v>2.437301536413277E-2</v>
      </c>
      <c r="Y89" s="335">
        <f t="shared" si="79"/>
        <v>2.4214338988676452E-2</v>
      </c>
      <c r="Z89" s="335">
        <f t="shared" si="79"/>
        <v>2.4070840484877367E-2</v>
      </c>
      <c r="AA89" s="335">
        <f t="shared" si="79"/>
        <v>2.3918132152371412E-2</v>
      </c>
      <c r="AB89" s="335">
        <f t="shared" si="79"/>
        <v>2.3769273661634401E-2</v>
      </c>
      <c r="AC89" s="335">
        <f t="shared" si="79"/>
        <v>2.3623999112361699E-2</v>
      </c>
      <c r="AD89" s="335">
        <f t="shared" si="79"/>
        <v>2.3475535658419148E-2</v>
      </c>
      <c r="AE89" s="335">
        <f t="shared" si="79"/>
        <v>2.3327569788305667E-2</v>
      </c>
      <c r="AF89" s="335">
        <f t="shared" si="79"/>
        <v>2.318143399022651E-2</v>
      </c>
      <c r="AG89" s="335">
        <f t="shared" si="79"/>
        <v>2.3037665126253375E-2</v>
      </c>
      <c r="AH89" s="335">
        <f t="shared" ref="AH89:AL89" si="80">AH42/AH$49</f>
        <v>2.2896615525983533E-2</v>
      </c>
      <c r="AI89" s="335">
        <f t="shared" si="80"/>
        <v>2.275533737413353E-2</v>
      </c>
      <c r="AJ89" s="335">
        <f t="shared" si="80"/>
        <v>2.2616146982009314E-2</v>
      </c>
      <c r="AK89" s="335">
        <f t="shared" si="80"/>
        <v>2.247561991764677E-2</v>
      </c>
      <c r="AL89" s="335">
        <f t="shared" si="80"/>
        <v>2.2338301758278022E-2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3">
      <c r="L90" s="232" t="str">
        <f>'Occ T3'!A45</f>
        <v>82 Transport and mobile machine drivers and operatives</v>
      </c>
      <c r="M90" s="335">
        <f t="shared" ref="M90:AG90" si="81">M43/M$49</f>
        <v>3.8307473678635753E-2</v>
      </c>
      <c r="N90" s="335">
        <f t="shared" si="81"/>
        <v>3.8425708267884148E-2</v>
      </c>
      <c r="O90" s="335">
        <f t="shared" si="81"/>
        <v>3.7099998918068554E-2</v>
      </c>
      <c r="P90" s="335">
        <f t="shared" si="81"/>
        <v>3.6513309865478891E-2</v>
      </c>
      <c r="Q90" s="335">
        <f t="shared" si="81"/>
        <v>3.7118182862101563E-2</v>
      </c>
      <c r="R90" s="335">
        <f t="shared" si="81"/>
        <v>3.6781338905138967E-2</v>
      </c>
      <c r="S90" s="335">
        <f t="shared" si="81"/>
        <v>3.9049255499019893E-2</v>
      </c>
      <c r="T90" s="335">
        <f t="shared" si="81"/>
        <v>3.8283722386047735E-2</v>
      </c>
      <c r="U90" s="335">
        <f t="shared" si="81"/>
        <v>3.9241888378620228E-2</v>
      </c>
      <c r="V90" s="335">
        <f t="shared" si="81"/>
        <v>3.9017535678021756E-2</v>
      </c>
      <c r="W90" s="335">
        <f t="shared" si="81"/>
        <v>3.5327090421166246E-2</v>
      </c>
      <c r="X90" s="335">
        <f t="shared" si="81"/>
        <v>3.7580245035319738E-2</v>
      </c>
      <c r="Y90" s="335">
        <f t="shared" si="81"/>
        <v>3.7426292102961056E-2</v>
      </c>
      <c r="Z90" s="335">
        <f t="shared" si="81"/>
        <v>3.7283528300829899E-2</v>
      </c>
      <c r="AA90" s="335">
        <f t="shared" si="81"/>
        <v>3.7131864944094692E-2</v>
      </c>
      <c r="AB90" s="335">
        <f t="shared" si="81"/>
        <v>3.6967103337266168E-2</v>
      </c>
      <c r="AC90" s="335">
        <f t="shared" si="81"/>
        <v>3.680529794072511E-2</v>
      </c>
      <c r="AD90" s="335">
        <f t="shared" si="81"/>
        <v>3.664435296613603E-2</v>
      </c>
      <c r="AE90" s="335">
        <f t="shared" si="81"/>
        <v>3.6486766670336075E-2</v>
      </c>
      <c r="AF90" s="335">
        <f t="shared" si="81"/>
        <v>3.6329733470221691E-2</v>
      </c>
      <c r="AG90" s="335">
        <f t="shared" si="81"/>
        <v>3.6176716195463532E-2</v>
      </c>
      <c r="AH90" s="335">
        <f t="shared" ref="AH90:AL90" si="82">AH43/AH$49</f>
        <v>3.6023039442911423E-2</v>
      </c>
      <c r="AI90" s="335">
        <f t="shared" si="82"/>
        <v>3.587038580435805E-2</v>
      </c>
      <c r="AJ90" s="335">
        <f t="shared" si="82"/>
        <v>3.5717724366428866E-2</v>
      </c>
      <c r="AK90" s="335">
        <f t="shared" si="82"/>
        <v>3.5565233138064353E-2</v>
      </c>
      <c r="AL90" s="335">
        <f t="shared" si="82"/>
        <v>3.541293039296483E-2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3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3">
      <c r="L92" s="16" t="str">
        <f>'Occ T3'!A47</f>
        <v>Elementary occupations</v>
      </c>
      <c r="M92" s="336">
        <f t="shared" ref="M92:AG92" si="83">M45/M$49</f>
        <v>0.1199331449120513</v>
      </c>
      <c r="N92" s="336">
        <f t="shared" si="83"/>
        <v>0.1160537864010116</v>
      </c>
      <c r="O92" s="336">
        <f t="shared" si="83"/>
        <v>0.11426488635960302</v>
      </c>
      <c r="P92" s="336">
        <f t="shared" si="83"/>
        <v>0.11401334803659863</v>
      </c>
      <c r="Q92" s="336">
        <f t="shared" si="83"/>
        <v>0.11506036675510449</v>
      </c>
      <c r="R92" s="336">
        <f t="shared" si="83"/>
        <v>0.11523494355751694</v>
      </c>
      <c r="S92" s="336">
        <f t="shared" si="83"/>
        <v>0.11284076958465458</v>
      </c>
      <c r="T92" s="336">
        <f t="shared" si="83"/>
        <v>0.11047523515275658</v>
      </c>
      <c r="U92" s="336">
        <f t="shared" si="83"/>
        <v>0.10980045268490159</v>
      </c>
      <c r="V92" s="336">
        <f t="shared" si="83"/>
        <v>0.10890241065677955</v>
      </c>
      <c r="W92" s="336">
        <f t="shared" si="83"/>
        <v>0.10052053064167842</v>
      </c>
      <c r="X92" s="336">
        <f t="shared" si="83"/>
        <v>0.10072580411122876</v>
      </c>
      <c r="Y92" s="336">
        <f t="shared" si="83"/>
        <v>0.10002890172274502</v>
      </c>
      <c r="Z92" s="336">
        <f t="shared" si="83"/>
        <v>9.9313250262076519E-2</v>
      </c>
      <c r="AA92" s="336">
        <f t="shared" si="83"/>
        <v>9.8589391787038891E-2</v>
      </c>
      <c r="AB92" s="336">
        <f t="shared" si="83"/>
        <v>9.7864923004963425E-2</v>
      </c>
      <c r="AC92" s="336">
        <f t="shared" si="83"/>
        <v>9.7129898464429099E-2</v>
      </c>
      <c r="AD92" s="336">
        <f t="shared" si="83"/>
        <v>9.6390856288834939E-2</v>
      </c>
      <c r="AE92" s="336">
        <f t="shared" si="83"/>
        <v>9.5659725046241526E-2</v>
      </c>
      <c r="AF92" s="336">
        <f t="shared" si="83"/>
        <v>9.4936770804605053E-2</v>
      </c>
      <c r="AG92" s="336">
        <f t="shared" si="83"/>
        <v>9.4223428558823236E-2</v>
      </c>
      <c r="AH92" s="336">
        <f t="shared" ref="AH92:AL92" si="84">AH45/AH$49</f>
        <v>9.3506652553945371E-2</v>
      </c>
      <c r="AI92" s="336">
        <f t="shared" si="84"/>
        <v>9.278639398683089E-2</v>
      </c>
      <c r="AJ92" s="336">
        <f t="shared" si="84"/>
        <v>9.2070800755488375E-2</v>
      </c>
      <c r="AK92" s="336">
        <f t="shared" si="84"/>
        <v>9.1358034723765039E-2</v>
      </c>
      <c r="AL92" s="336">
        <f t="shared" si="84"/>
        <v>9.0648331899218851E-2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3">
      <c r="L93" s="232" t="str">
        <f>'Occ T3'!A48</f>
        <v>91 Elementary trades and related occupations</v>
      </c>
      <c r="M93" s="335">
        <f t="shared" ref="M93:AG93" si="85">M46/M$49</f>
        <v>1.6360691808021487E-2</v>
      </c>
      <c r="N93" s="335">
        <f t="shared" si="85"/>
        <v>1.6106709838664992E-2</v>
      </c>
      <c r="O93" s="335">
        <f t="shared" si="85"/>
        <v>1.5821526923896212E-2</v>
      </c>
      <c r="P93" s="335">
        <f t="shared" si="85"/>
        <v>1.5486208360409953E-2</v>
      </c>
      <c r="Q93" s="335">
        <f t="shared" si="85"/>
        <v>1.6352070876115087E-2</v>
      </c>
      <c r="R93" s="335">
        <f t="shared" si="85"/>
        <v>1.6607550830773209E-2</v>
      </c>
      <c r="S93" s="335">
        <f t="shared" si="85"/>
        <v>1.646591157735371E-2</v>
      </c>
      <c r="T93" s="335">
        <f t="shared" si="85"/>
        <v>1.5121424914449375E-2</v>
      </c>
      <c r="U93" s="335">
        <f t="shared" si="85"/>
        <v>1.506170965075275E-2</v>
      </c>
      <c r="V93" s="335">
        <f t="shared" si="85"/>
        <v>1.4184419797547207E-2</v>
      </c>
      <c r="W93" s="335">
        <f t="shared" si="85"/>
        <v>1.2771476427319932E-2</v>
      </c>
      <c r="X93" s="335">
        <f t="shared" si="85"/>
        <v>1.0836883932681845E-2</v>
      </c>
      <c r="Y93" s="335">
        <f t="shared" si="85"/>
        <v>1.0736602184972082E-2</v>
      </c>
      <c r="Z93" s="335">
        <f t="shared" si="85"/>
        <v>1.0644174557891697E-2</v>
      </c>
      <c r="AA93" s="335">
        <f t="shared" si="85"/>
        <v>1.0548968936086192E-2</v>
      </c>
      <c r="AB93" s="335">
        <f t="shared" si="85"/>
        <v>1.045056428022218E-2</v>
      </c>
      <c r="AC93" s="335">
        <f t="shared" si="85"/>
        <v>1.0354817837384584E-2</v>
      </c>
      <c r="AD93" s="335">
        <f t="shared" si="85"/>
        <v>1.0259787186541483E-2</v>
      </c>
      <c r="AE93" s="335">
        <f t="shared" si="85"/>
        <v>1.0166383138023484E-2</v>
      </c>
      <c r="AF93" s="335">
        <f t="shared" si="85"/>
        <v>1.0073953275053851E-2</v>
      </c>
      <c r="AG93" s="335">
        <f t="shared" si="85"/>
        <v>9.9828485133234557E-3</v>
      </c>
      <c r="AH93" s="335">
        <f t="shared" ref="AH93:AL93" si="86">AH46/AH$49</f>
        <v>9.8898713509338008E-3</v>
      </c>
      <c r="AI93" s="335">
        <f t="shared" si="86"/>
        <v>9.7965046407200371E-3</v>
      </c>
      <c r="AJ93" s="335">
        <f t="shared" si="86"/>
        <v>9.702876084870235E-3</v>
      </c>
      <c r="AK93" s="335">
        <f t="shared" si="86"/>
        <v>9.6096450431241119E-3</v>
      </c>
      <c r="AL93" s="335">
        <f t="shared" si="86"/>
        <v>9.5173786867714539E-3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3">
      <c r="L94" s="232" t="str">
        <f>'Occ T3'!A49</f>
        <v>92 Elementary administration and service occupations</v>
      </c>
      <c r="M94" s="335">
        <f t="shared" ref="M94:AG94" si="87">M47/M$49</f>
        <v>0.10357245310402982</v>
      </c>
      <c r="N94" s="335">
        <f t="shared" si="87"/>
        <v>9.9947076562346623E-2</v>
      </c>
      <c r="O94" s="335">
        <f t="shared" si="87"/>
        <v>9.8443359435706812E-2</v>
      </c>
      <c r="P94" s="335">
        <f t="shared" si="87"/>
        <v>9.8527139676188674E-2</v>
      </c>
      <c r="Q94" s="335">
        <f t="shared" si="87"/>
        <v>9.870829587898941E-2</v>
      </c>
      <c r="R94" s="335">
        <f t="shared" si="87"/>
        <v>9.8627392726743743E-2</v>
      </c>
      <c r="S94" s="335">
        <f t="shared" si="87"/>
        <v>9.6374858007300876E-2</v>
      </c>
      <c r="T94" s="335">
        <f t="shared" si="87"/>
        <v>9.5353810238307204E-2</v>
      </c>
      <c r="U94" s="335">
        <f t="shared" si="87"/>
        <v>9.4738743034148837E-2</v>
      </c>
      <c r="V94" s="335">
        <f t="shared" si="87"/>
        <v>9.4717990859232354E-2</v>
      </c>
      <c r="W94" s="335">
        <f t="shared" si="87"/>
        <v>8.7749054214358482E-2</v>
      </c>
      <c r="X94" s="335">
        <f t="shared" si="87"/>
        <v>8.9888920178546911E-2</v>
      </c>
      <c r="Y94" s="335">
        <f t="shared" si="87"/>
        <v>8.9292299537772929E-2</v>
      </c>
      <c r="Z94" s="335">
        <f t="shared" si="87"/>
        <v>8.8669075704184835E-2</v>
      </c>
      <c r="AA94" s="335">
        <f t="shared" si="87"/>
        <v>8.804042285095269E-2</v>
      </c>
      <c r="AB94" s="335">
        <f t="shared" si="87"/>
        <v>8.7414358724741237E-2</v>
      </c>
      <c r="AC94" s="335">
        <f t="shared" si="87"/>
        <v>8.6775080627044504E-2</v>
      </c>
      <c r="AD94" s="335">
        <f t="shared" si="87"/>
        <v>8.6131069102293456E-2</v>
      </c>
      <c r="AE94" s="335">
        <f t="shared" si="87"/>
        <v>8.5493341908218043E-2</v>
      </c>
      <c r="AF94" s="335">
        <f t="shared" si="87"/>
        <v>8.4862817529551215E-2</v>
      </c>
      <c r="AG94" s="335">
        <f t="shared" si="87"/>
        <v>8.424058004549978E-2</v>
      </c>
      <c r="AH94" s="335">
        <f t="shared" ref="AH94:AL94" si="88">AH47/AH$49</f>
        <v>8.3616781203011567E-2</v>
      </c>
      <c r="AI94" s="335">
        <f t="shared" si="88"/>
        <v>8.2989889346110846E-2</v>
      </c>
      <c r="AJ94" s="335">
        <f t="shared" si="88"/>
        <v>8.2367924670618139E-2</v>
      </c>
      <c r="AK94" s="335">
        <f t="shared" si="88"/>
        <v>8.1748389680640923E-2</v>
      </c>
      <c r="AL94" s="335">
        <f t="shared" si="88"/>
        <v>8.1130953212447385E-2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3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3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3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3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3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3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3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3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3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3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3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3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3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3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3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3">
      <c r="L110" s="13"/>
      <c r="M110" s="11"/>
      <c r="N110" s="11"/>
      <c r="O110" s="11"/>
      <c r="P110" s="11"/>
    </row>
    <row r="111" spans="12:53" x14ac:dyDescent="0.3">
      <c r="L111" s="13"/>
      <c r="M111" s="11"/>
      <c r="N111" s="11"/>
      <c r="O111" s="11"/>
      <c r="P111" s="11"/>
    </row>
    <row r="112" spans="12:53" x14ac:dyDescent="0.3">
      <c r="L112" s="13"/>
      <c r="M112" s="11"/>
      <c r="N112" s="11"/>
      <c r="O112" s="11"/>
      <c r="P112" s="11"/>
    </row>
    <row r="113" spans="1:16" x14ac:dyDescent="0.3">
      <c r="L113" s="13"/>
      <c r="M113" s="11"/>
      <c r="N113" s="11"/>
      <c r="O113" s="11"/>
      <c r="P113" s="11"/>
    </row>
    <row r="114" spans="1:16" x14ac:dyDescent="0.3">
      <c r="L114" s="13"/>
      <c r="M114" s="11"/>
      <c r="N114" s="11"/>
      <c r="O114" s="11"/>
      <c r="P114" s="11"/>
    </row>
    <row r="115" spans="1:16" x14ac:dyDescent="0.3">
      <c r="L115" s="13"/>
      <c r="M115" s="11"/>
      <c r="N115" s="11"/>
      <c r="O115" s="11"/>
      <c r="P115" s="11"/>
    </row>
    <row r="116" spans="1:16" x14ac:dyDescent="0.3">
      <c r="L116" s="13"/>
      <c r="M116" s="11"/>
      <c r="N116" s="11"/>
      <c r="O116" s="11"/>
      <c r="P116" s="11"/>
    </row>
    <row r="117" spans="1:16" x14ac:dyDescent="0.3">
      <c r="L117" s="13"/>
    </row>
    <row r="118" spans="1:16" ht="15.45" x14ac:dyDescent="0.4">
      <c r="A118" s="79" t="str">
        <f>CONCATENATE("Occupation Figure 2.2  Employment by Occupation, ",$M$2,"-",$O$2,", ",Info!B5)</f>
        <v>Occupation Figure 2.2  Employment by Occupation, 2010-2035, England</v>
      </c>
    </row>
    <row r="145" spans="12:63" s="80" customFormat="1" x14ac:dyDescent="0.3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45" x14ac:dyDescent="0.4">
      <c r="A164" s="79" t="str">
        <f>CONCATENATE("Occupation Figure 2.3  Change in Employment in ",$L$5,", ",$M$2,"-",$O$2,", ",Info!B5)</f>
        <v>Occupation Figure 2.3  Change in Employment in Managers, directors and senior officials, 2010-2035, England</v>
      </c>
    </row>
    <row r="180" spans="12:63" s="80" customFormat="1" x14ac:dyDescent="0.3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45" x14ac:dyDescent="0.4">
      <c r="A199" s="79" t="str">
        <f>CONCATENATE("Occupation Figure 2.4  Change in Employment in ",$L$9,", ",$M$2,"-",$O$2,", ",Info!B5)</f>
        <v>Occupation Figure 2.4  Change in Employment in Professional occupations, 2010-2035, England</v>
      </c>
    </row>
    <row r="215" spans="12:63" s="80" customFormat="1" x14ac:dyDescent="0.3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45" x14ac:dyDescent="0.4">
      <c r="A234" s="79" t="str">
        <f>CONCATENATE("Occupation Figure 2.5  Change in Employment in ",$L$15,", ",$M$2,"-",$O$2,", ",Info!B5)</f>
        <v>Occupation Figure 2.5  Change in Employment in Associate professional occupations, 2010-2035, England</v>
      </c>
    </row>
    <row r="250" spans="12:63" s="80" customFormat="1" x14ac:dyDescent="0.3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45" x14ac:dyDescent="0.4">
      <c r="A269" s="79" t="str">
        <f>CONCATENATE("Occupation Figure 2.6  Change in Employment in ",$L$22,", ",$M$2,"-",$O$2,", ",Info!B5)</f>
        <v>Occupation Figure 2.6  Change in Employment in Administrative and secretarial occupations, 2010-2035, England</v>
      </c>
    </row>
    <row r="285" spans="12:63" s="80" customFormat="1" x14ac:dyDescent="0.3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45" x14ac:dyDescent="0.4">
      <c r="A304" s="79" t="str">
        <f>CONCATENATE("Occupation Figure 2.7  Change in Employment in ",$L$26,", ",$M$2,"- ",$O$2,", ",Info!B5)</f>
        <v>Occupation Figure 2.7  Change in Employment in Skilled trades occupations, 2010- 2035, England</v>
      </c>
    </row>
    <row r="320" spans="12:63" s="80" customFormat="1" x14ac:dyDescent="0.3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45" x14ac:dyDescent="0.4">
      <c r="A339" s="79" t="str">
        <f>CONCATENATE("Occupation Figure 2.8  Change in Employment in ",$L$32,", ",$M$2,"-",$O$2,", ",Info!B5)</f>
        <v>Occupation Figure 2.8  Change in Employment in Caring, leisure and other service occupations, 2010-2035, England</v>
      </c>
    </row>
    <row r="355" spans="12:63" s="80" customFormat="1" x14ac:dyDescent="0.3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45" x14ac:dyDescent="0.4">
      <c r="A374" s="79" t="str">
        <f>CONCATENATE("Occupation Figure 2.9  Change in Employment in ",$L$37,", ",$M$2,"-",$O$2,", ",Info!B5)</f>
        <v>Occupation Figure 2.9  Change in Employment in Sales and customer service occupations, 2010-2035, England</v>
      </c>
    </row>
    <row r="390" spans="12:63" s="80" customFormat="1" x14ac:dyDescent="0.3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45" x14ac:dyDescent="0.4">
      <c r="A409" s="79" t="str">
        <f>CONCATENATE("Occupation Figure 2.10  Change in Employment in ",$L$41,", ",$M$2,"-",$O$2,", ",Info!B5)</f>
        <v>Occupation Figure 2.10  Change in Employment in Process, plant and machine operatives, 2010-2035, England</v>
      </c>
    </row>
    <row r="444" spans="1:1" ht="15.45" x14ac:dyDescent="0.4">
      <c r="A444" s="79" t="str">
        <f>CONCATENATE("Occupation Figure 2.11  Change in Employment in ",$L$45,", ",$M$2,"-",$O$2,", ",Info!B5)</f>
        <v>Occupation Figure 2.11  Change in Employment in Elementary occupations, 2010-2035, England</v>
      </c>
    </row>
    <row r="479" spans="1:12" ht="15.45" x14ac:dyDescent="0.4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England</v>
      </c>
      <c r="L479" s="45" t="s">
        <v>423</v>
      </c>
    </row>
    <row r="480" spans="1:12" ht="12.9" x14ac:dyDescent="0.35">
      <c r="L480" s="29" t="s">
        <v>424</v>
      </c>
    </row>
    <row r="507" spans="1:12" ht="15.45" x14ac:dyDescent="0.4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England</v>
      </c>
      <c r="L507" s="45" t="s">
        <v>425</v>
      </c>
    </row>
    <row r="508" spans="1:12" ht="12.9" x14ac:dyDescent="0.35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45" x14ac:dyDescent="0.3"/>
  <cols>
    <col min="18" max="18" width="9" customWidth="1"/>
    <col min="19" max="22" width="16" customWidth="1"/>
    <col min="23" max="23" width="42.3828125" customWidth="1"/>
    <col min="24" max="29" width="11.3828125" customWidth="1"/>
  </cols>
  <sheetData>
    <row r="1" spans="1:29" ht="15.45" x14ac:dyDescent="0.4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England</v>
      </c>
      <c r="W1" t="str">
        <f>LEFT(X3,4)</f>
        <v>2015</v>
      </c>
      <c r="X1" t="str">
        <f>RIGHT(AC3,4)</f>
        <v>2035</v>
      </c>
    </row>
    <row r="2" spans="1:29" x14ac:dyDescent="0.3">
      <c r="A2" s="1" t="s">
        <v>534</v>
      </c>
      <c r="X2" t="s">
        <v>427</v>
      </c>
    </row>
    <row r="3" spans="1:29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3">
      <c r="W4" s="10" t="str">
        <f>name!E4</f>
        <v>Managers, directors and senior officials</v>
      </c>
      <c r="X4" s="11">
        <f>'Occ T1'!C8-'Occ T1'!B8</f>
        <v>418.83273656857364</v>
      </c>
      <c r="Y4" s="11">
        <f>'Occ T1'!D8-'Occ T1'!C8</f>
        <v>56.175361813276595</v>
      </c>
      <c r="Z4" s="11">
        <f>'Occ T1'!E8-'Occ T1'!D8</f>
        <v>103.70494790056819</v>
      </c>
      <c r="AA4" s="11">
        <f>'Occ T1'!F8-'Occ T1'!E8</f>
        <v>395.4936928765128</v>
      </c>
      <c r="AB4" s="11">
        <f>'Occ T1'!D8-'Occ T1'!B8</f>
        <v>475.00809838185023</v>
      </c>
      <c r="AC4" s="11">
        <f>'Occ T1'!F8-'Occ T1'!D8</f>
        <v>499.19864077708098</v>
      </c>
    </row>
    <row r="5" spans="1:29" x14ac:dyDescent="0.3">
      <c r="W5" s="10" t="str">
        <f>name!E5</f>
        <v>Professional occupations</v>
      </c>
      <c r="X5" s="11">
        <f>'Occ T1'!C9-'Occ T1'!B9</f>
        <v>832.9318320221264</v>
      </c>
      <c r="Y5" s="11">
        <f>'Occ T1'!D9-'Occ T1'!C9</f>
        <v>296.7324327110764</v>
      </c>
      <c r="Z5" s="11">
        <f>'Occ T1'!E9-'Occ T1'!D9</f>
        <v>574.93221747693497</v>
      </c>
      <c r="AA5" s="11">
        <f>'Occ T1'!F9-'Occ T1'!E9</f>
        <v>794.84360518071298</v>
      </c>
      <c r="AB5" s="11">
        <f>'Occ T1'!D9-'Occ T1'!B9</f>
        <v>1129.6642647332028</v>
      </c>
      <c r="AC5" s="11">
        <f>'Occ T1'!F9-'Occ T1'!D9</f>
        <v>1369.775822657648</v>
      </c>
    </row>
    <row r="6" spans="1:29" x14ac:dyDescent="0.3">
      <c r="W6" s="10" t="str">
        <f>name!E6</f>
        <v>Associate professional occupations</v>
      </c>
      <c r="X6" s="11">
        <f>'Occ T1'!C10-'Occ T1'!B10</f>
        <v>293.21103937835869</v>
      </c>
      <c r="Y6" s="11">
        <f>'Occ T1'!D10-'Occ T1'!C10</f>
        <v>186.03571488631587</v>
      </c>
      <c r="Z6" s="11">
        <f>'Occ T1'!E10-'Occ T1'!D10</f>
        <v>-67.115301105437993</v>
      </c>
      <c r="AA6" s="11">
        <f>'Occ T1'!F10-'Occ T1'!E10</f>
        <v>308.67086261937357</v>
      </c>
      <c r="AB6" s="11">
        <f>'Occ T1'!D10-'Occ T1'!B10</f>
        <v>479.24675426467456</v>
      </c>
      <c r="AC6" s="11">
        <f>'Occ T1'!F10-'Occ T1'!D10</f>
        <v>241.55556151393557</v>
      </c>
    </row>
    <row r="7" spans="1:29" x14ac:dyDescent="0.3">
      <c r="W7" s="10" t="str">
        <f>name!E7</f>
        <v>Administrative and secretarial occupations</v>
      </c>
      <c r="X7" s="11">
        <f>'Occ T1'!C11-'Occ T1'!B11</f>
        <v>-88.587134656135731</v>
      </c>
      <c r="Y7" s="11">
        <f>'Occ T1'!D11-'Occ T1'!C11</f>
        <v>86.123711684230784</v>
      </c>
      <c r="Z7" s="11">
        <f>'Occ T1'!E11-'Occ T1'!D11</f>
        <v>-178.06234065907165</v>
      </c>
      <c r="AA7" s="11">
        <f>'Occ T1'!F11-'Occ T1'!E11</f>
        <v>-248.84594093242049</v>
      </c>
      <c r="AB7" s="11">
        <f>'Occ T1'!D11-'Occ T1'!B11</f>
        <v>-2.4634229719049472</v>
      </c>
      <c r="AC7" s="11">
        <f>'Occ T1'!F11-'Occ T1'!D11</f>
        <v>-426.90828159149214</v>
      </c>
    </row>
    <row r="8" spans="1:29" x14ac:dyDescent="0.3">
      <c r="W8" s="10" t="str">
        <f>name!E8</f>
        <v>Skilled trades occupations</v>
      </c>
      <c r="X8" s="11">
        <f>'Occ T1'!C12-'Occ T1'!B12</f>
        <v>-38.919501869974283</v>
      </c>
      <c r="Y8" s="11">
        <f>'Occ T1'!D12-'Occ T1'!C12</f>
        <v>-340.49320683841006</v>
      </c>
      <c r="Z8" s="11">
        <f>'Occ T1'!E12-'Occ T1'!D12</f>
        <v>43.959369771858746</v>
      </c>
      <c r="AA8" s="11">
        <f>'Occ T1'!F12-'Occ T1'!E12</f>
        <v>-60.099390817227231</v>
      </c>
      <c r="AB8" s="11">
        <f>'Occ T1'!D12-'Occ T1'!B12</f>
        <v>-379.41270870838434</v>
      </c>
      <c r="AC8" s="11">
        <f>'Occ T1'!F12-'Occ T1'!D12</f>
        <v>-16.140021045368485</v>
      </c>
    </row>
    <row r="9" spans="1:29" x14ac:dyDescent="0.3">
      <c r="W9" s="10" t="str">
        <f>name!E9</f>
        <v>Caring, leisure and other service occupations</v>
      </c>
      <c r="X9" s="11">
        <f>'Occ T1'!C13-'Occ T1'!B13</f>
        <v>108.49918964433255</v>
      </c>
      <c r="Y9" s="11">
        <f>'Occ T1'!D13-'Occ T1'!C13</f>
        <v>-111.78225455721122</v>
      </c>
      <c r="Z9" s="11">
        <f>'Occ T1'!E13-'Occ T1'!D13</f>
        <v>186.74703421174263</v>
      </c>
      <c r="AA9" s="11">
        <f>'Occ T1'!F13-'Occ T1'!E13</f>
        <v>234.18023806349083</v>
      </c>
      <c r="AB9" s="11">
        <f>'Occ T1'!D13-'Occ T1'!B13</f>
        <v>-3.2830649128786717</v>
      </c>
      <c r="AC9" s="11">
        <f>'Occ T1'!F13-'Occ T1'!D13</f>
        <v>420.92727227523346</v>
      </c>
    </row>
    <row r="10" spans="1:29" x14ac:dyDescent="0.3">
      <c r="W10" s="10" t="str">
        <f>name!E10</f>
        <v>Sales and customer service occupations</v>
      </c>
      <c r="X10" s="11">
        <f>'Occ T1'!C14-'Occ T1'!B14</f>
        <v>-60.652574215102049</v>
      </c>
      <c r="Y10" s="11">
        <f>'Occ T1'!D14-'Occ T1'!C14</f>
        <v>-28.728802421082946</v>
      </c>
      <c r="Z10" s="11">
        <f>'Occ T1'!E14-'Occ T1'!D14</f>
        <v>16.806581530819585</v>
      </c>
      <c r="AA10" s="11">
        <f>'Occ T1'!F14-'Occ T1'!E14</f>
        <v>9.6554236327947365</v>
      </c>
      <c r="AB10" s="11">
        <f>'Occ T1'!D14-'Occ T1'!B14</f>
        <v>-89.381376636184996</v>
      </c>
      <c r="AC10" s="11">
        <f>'Occ T1'!F14-'Occ T1'!D14</f>
        <v>26.462005163614322</v>
      </c>
    </row>
    <row r="11" spans="1:29" x14ac:dyDescent="0.3">
      <c r="W11" s="10" t="str">
        <f>name!E11</f>
        <v>Process, plant and machine operatives</v>
      </c>
      <c r="X11" s="11">
        <f>'Occ T1'!C15-'Occ T1'!B15</f>
        <v>103.22237952410114</v>
      </c>
      <c r="Y11" s="11">
        <f>'Occ T1'!D15-'Occ T1'!C15</f>
        <v>-208.41053959372312</v>
      </c>
      <c r="Z11" s="11">
        <f>'Occ T1'!E15-'Occ T1'!D15</f>
        <v>205.79442474029088</v>
      </c>
      <c r="AA11" s="11">
        <f>'Occ T1'!F15-'Occ T1'!E15</f>
        <v>-15.844698582371166</v>
      </c>
      <c r="AB11" s="11">
        <f>'Occ T1'!D15-'Occ T1'!B15</f>
        <v>-105.18816006962197</v>
      </c>
      <c r="AC11" s="11">
        <f>'Occ T1'!F15-'Occ T1'!D15</f>
        <v>189.94972615791971</v>
      </c>
    </row>
    <row r="12" spans="1:29" x14ac:dyDescent="0.3">
      <c r="W12" s="10" t="str">
        <f>name!E12</f>
        <v>Elementary occupations</v>
      </c>
      <c r="X12" s="11">
        <f>'Occ T1'!C16-'Occ T1'!B16</f>
        <v>-11.949966400185986</v>
      </c>
      <c r="Y12" s="11">
        <f>'Occ T1'!D16-'Occ T1'!C16</f>
        <v>-288.73141768331152</v>
      </c>
      <c r="Z12" s="11">
        <f>'Occ T1'!E16-'Occ T1'!D16</f>
        <v>8.3000661472897264</v>
      </c>
      <c r="AA12" s="11">
        <f>'Occ T1'!F16-'Occ T1'!E16</f>
        <v>-102.71079205198157</v>
      </c>
      <c r="AB12" s="11">
        <f>'Occ T1'!D16-'Occ T1'!B16</f>
        <v>-300.68138408349751</v>
      </c>
      <c r="AC12" s="11">
        <f>'Occ T1'!F16-'Occ T1'!D16</f>
        <v>-94.410725904691844</v>
      </c>
    </row>
    <row r="14" spans="1:29" x14ac:dyDescent="0.3">
      <c r="W14" s="10" t="str">
        <f>name!E3</f>
        <v>All occupations</v>
      </c>
      <c r="X14" s="11">
        <f>'Occ T1'!C18-'Occ T1'!B18</f>
        <v>1556.5879999960925</v>
      </c>
      <c r="Y14" s="11">
        <f>'Occ T1'!D18-'Occ T1'!C18</f>
        <v>-353.07899999883375</v>
      </c>
      <c r="Z14" s="11">
        <f>'Occ T1'!E18-'Occ T1'!D18</f>
        <v>895.06700001498757</v>
      </c>
      <c r="AA14" s="11">
        <f>'Occ T1'!F18-'Occ T1'!E18</f>
        <v>1315.3429999888831</v>
      </c>
      <c r="AB14" s="11">
        <f>'Occ T1'!D18-'Occ T1'!B18</f>
        <v>1203.5089999972588</v>
      </c>
      <c r="AC14" s="11">
        <f>'Occ T1'!F18-'Occ T1'!D18</f>
        <v>2210.4100000038707</v>
      </c>
    </row>
    <row r="17" spans="23:26" x14ac:dyDescent="0.3">
      <c r="Y17" s="82" t="s">
        <v>442</v>
      </c>
      <c r="Z17" s="82" t="s">
        <v>443</v>
      </c>
    </row>
    <row r="18" spans="23:26" x14ac:dyDescent="0.3">
      <c r="W18" s="82" t="s">
        <v>444</v>
      </c>
      <c r="X18">
        <f>CEILING(MAX(X4:AA12),IF(MAX(X4:AA12)&lt;100,10,IF(MAX(X4:AA12)&lt;1000,100,1000)))</f>
        <v>900</v>
      </c>
      <c r="Y18">
        <f>MAX(X18,(X19*-1))</f>
        <v>900</v>
      </c>
      <c r="Z18">
        <f>IF(Y18&gt;1000,1000,IF(Y18&gt;500,500,IF(Y18&gt;100,100,IF(Y18&gt;40,20,10))))</f>
        <v>500</v>
      </c>
    </row>
    <row r="19" spans="23:26" x14ac:dyDescent="0.3">
      <c r="W19" s="82" t="s">
        <v>445</v>
      </c>
      <c r="X19">
        <f>FLOOR(MIN(X4:AA12),IF(MIN(X4:AA12)&gt;-100,10,IF(MIN(X4:AA12)&gt;-1000,100,1000)))</f>
        <v>-400</v>
      </c>
      <c r="Y19">
        <f>Y18*-1</f>
        <v>-900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45" x14ac:dyDescent="0.3"/>
  <cols>
    <col min="13" max="13" width="36" customWidth="1"/>
  </cols>
  <sheetData>
    <row r="1" spans="1:16" ht="15.45" x14ac:dyDescent="0.4">
      <c r="A1" s="79" t="str">
        <f>CONCATENATE("Occupation Figure 4  Occupational Change by Gender (000s) (SOC 2020), ",N1,", ",Info!B5)</f>
        <v>Occupation Figure 4  Occupational Change by Gender (000s) (SOC 2020), 2020-2035, England</v>
      </c>
      <c r="M1" s="82" t="s">
        <v>18</v>
      </c>
      <c r="N1" t="str">
        <f>'Occ T1'!F62</f>
        <v>2020-2035</v>
      </c>
    </row>
    <row r="2" spans="1:16" x14ac:dyDescent="0.3">
      <c r="A2" s="1" t="s">
        <v>534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3">
      <c r="M3" s="10" t="str">
        <f>name!E4</f>
        <v>Managers, directors and senior officials</v>
      </c>
      <c r="N3" s="11">
        <f>'Occ T1'!F64</f>
        <v>499.19864077708098</v>
      </c>
      <c r="O3" s="11">
        <f>'Occ T1'!AB64</f>
        <v>297.38193582800363</v>
      </c>
      <c r="P3" s="11">
        <f>'Occ T1'!Q64</f>
        <v>201.81670494908212</v>
      </c>
    </row>
    <row r="4" spans="1:16" x14ac:dyDescent="0.3">
      <c r="M4" s="10" t="str">
        <f>name!E5</f>
        <v>Professional occupations</v>
      </c>
      <c r="N4" s="11">
        <f>'Occ T1'!F65</f>
        <v>1369.775822657648</v>
      </c>
      <c r="O4" s="11">
        <f>'Occ T1'!AB65</f>
        <v>780.32045860137259</v>
      </c>
      <c r="P4" s="11">
        <f>'Occ T1'!Q65</f>
        <v>589.45536405626444</v>
      </c>
    </row>
    <row r="5" spans="1:16" x14ac:dyDescent="0.3">
      <c r="M5" s="10" t="str">
        <f>name!E6</f>
        <v>Associate professional occupations</v>
      </c>
      <c r="N5" s="11">
        <f>'Occ T1'!F66</f>
        <v>241.55556151393557</v>
      </c>
      <c r="O5" s="11">
        <f>'Occ T1'!AB66</f>
        <v>285.23671175590016</v>
      </c>
      <c r="P5" s="11">
        <f>'Occ T1'!Q66</f>
        <v>-43.681150241965042</v>
      </c>
    </row>
    <row r="6" spans="1:16" x14ac:dyDescent="0.3">
      <c r="M6" s="10" t="str">
        <f>name!E7</f>
        <v>Administrative and secretarial occupations</v>
      </c>
      <c r="N6" s="11">
        <f>'Occ T1'!F67</f>
        <v>-426.90828159149214</v>
      </c>
      <c r="O6" s="11">
        <f>'Occ T1'!AB67</f>
        <v>-470.87388352036055</v>
      </c>
      <c r="P6" s="11">
        <f>'Occ T1'!Q67</f>
        <v>43.965601928876708</v>
      </c>
    </row>
    <row r="7" spans="1:16" x14ac:dyDescent="0.3">
      <c r="M7" s="10" t="str">
        <f>name!E8</f>
        <v>Skilled trades occupations</v>
      </c>
      <c r="N7" s="11">
        <f>'Occ T1'!F68</f>
        <v>-16.140021045368485</v>
      </c>
      <c r="O7" s="11">
        <f>'Occ T1'!AB68</f>
        <v>77.388078225357731</v>
      </c>
      <c r="P7" s="11">
        <f>'Occ T1'!Q68</f>
        <v>-93.528099270730308</v>
      </c>
    </row>
    <row r="8" spans="1:16" x14ac:dyDescent="0.3">
      <c r="M8" s="10" t="str">
        <f>name!E9</f>
        <v>Caring, leisure and other service occupations</v>
      </c>
      <c r="N8" s="11">
        <f>'Occ T1'!F69</f>
        <v>420.92727227523346</v>
      </c>
      <c r="O8" s="11">
        <f>'Occ T1'!AB69</f>
        <v>263.22401678982851</v>
      </c>
      <c r="P8" s="11">
        <f>'Occ T1'!Q69</f>
        <v>157.70325548540598</v>
      </c>
    </row>
    <row r="9" spans="1:16" x14ac:dyDescent="0.3">
      <c r="M9" s="10" t="str">
        <f>name!E10</f>
        <v>Sales and customer service occupations</v>
      </c>
      <c r="N9" s="11">
        <f>'Occ T1'!F70</f>
        <v>26.462005163614322</v>
      </c>
      <c r="O9" s="11">
        <f>'Occ T1'!AB70</f>
        <v>-41.519260923452066</v>
      </c>
      <c r="P9" s="11">
        <f>'Occ T1'!Q70</f>
        <v>67.981266087068434</v>
      </c>
    </row>
    <row r="10" spans="1:16" x14ac:dyDescent="0.3">
      <c r="M10" s="10" t="str">
        <f>name!E11</f>
        <v>Process, plant and machine operatives</v>
      </c>
      <c r="N10" s="11">
        <f>'Occ T1'!F71</f>
        <v>189.94972615791971</v>
      </c>
      <c r="O10" s="11">
        <f>'Occ T1'!AB71</f>
        <v>81.11998480796467</v>
      </c>
      <c r="P10" s="11">
        <f>'Occ T1'!Q71</f>
        <v>108.82974134995766</v>
      </c>
    </row>
    <row r="11" spans="1:16" x14ac:dyDescent="0.3">
      <c r="M11" s="10" t="str">
        <f>name!E12</f>
        <v>Elementary occupations</v>
      </c>
      <c r="N11" s="11">
        <f>'Occ T1'!F72</f>
        <v>-94.410725904691844</v>
      </c>
      <c r="O11" s="11">
        <f>'Occ T1'!AB72</f>
        <v>-65.859041560736159</v>
      </c>
      <c r="P11" s="11">
        <f>'Occ T1'!Q72</f>
        <v>-28.551684343962506</v>
      </c>
    </row>
    <row r="12" spans="1:16" x14ac:dyDescent="0.3">
      <c r="M12" s="10"/>
      <c r="N12" s="11"/>
      <c r="O12" s="11"/>
      <c r="P12" s="11"/>
    </row>
    <row r="13" spans="1:16" x14ac:dyDescent="0.3">
      <c r="M13" s="10" t="str">
        <f>name!E3</f>
        <v>All occupations</v>
      </c>
      <c r="N13" s="11">
        <f>'Occ T1'!F74</f>
        <v>2210.4100000038707</v>
      </c>
      <c r="O13" s="11">
        <f>'Occ T1'!AB74</f>
        <v>1206.4190000038798</v>
      </c>
      <c r="P13" s="11">
        <f>'Occ T1'!Q74</f>
        <v>1003.991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5234375" defaultRowHeight="12.45" x14ac:dyDescent="0.3"/>
  <cols>
    <col min="13" max="13" width="36" customWidth="1"/>
    <col min="14" max="14" width="19.53515625" customWidth="1"/>
  </cols>
  <sheetData>
    <row r="1" spans="1:16" ht="15.45" x14ac:dyDescent="0.4">
      <c r="A1" s="79" t="str">
        <f>CONCATENATE("Occupation Figure 5  Occupational Change by Status (000s) (SOC 2020), ",N1,", ",Info!B5)</f>
        <v>Occupation Figure 5  Occupational Change by Status (000s) (SOC 2020), 2020-2035, England</v>
      </c>
      <c r="M1" s="82" t="s">
        <v>18</v>
      </c>
      <c r="N1" t="str">
        <f>'Ind Occ T2'!G6&amp;"-"&amp;'Ind Occ T2'!L6</f>
        <v>2020-2035</v>
      </c>
    </row>
    <row r="2" spans="1:16" x14ac:dyDescent="0.3">
      <c r="A2" s="1" t="s">
        <v>534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3">
      <c r="M3" s="10" t="str">
        <f>name!E4</f>
        <v>Managers, directors and senior officials</v>
      </c>
      <c r="N3" s="11">
        <f>'Occ T5'!I44</f>
        <v>90.394096511423641</v>
      </c>
      <c r="O3" s="11">
        <f>'Occ T5'!H44</f>
        <v>121.83530785268783</v>
      </c>
      <c r="P3" s="11">
        <f>'Occ T5'!G44</f>
        <v>286.96923641297553</v>
      </c>
    </row>
    <row r="4" spans="1:16" x14ac:dyDescent="0.3">
      <c r="M4" s="10" t="str">
        <f>name!E5</f>
        <v>Professional occupations</v>
      </c>
      <c r="N4" s="11">
        <f>'Occ T5'!I45</f>
        <v>7.8658619320549406E-2</v>
      </c>
      <c r="O4" s="11">
        <f>'Occ T5'!H45</f>
        <v>324.62942021163803</v>
      </c>
      <c r="P4" s="11">
        <f>'Occ T5'!G45</f>
        <v>1045.0677438266912</v>
      </c>
    </row>
    <row r="5" spans="1:16" x14ac:dyDescent="0.3">
      <c r="M5" s="10" t="str">
        <f>name!E6</f>
        <v>Associate professional occupations</v>
      </c>
      <c r="N5" s="11">
        <f>'Occ T5'!I46</f>
        <v>33.881473512591697</v>
      </c>
      <c r="O5" s="11">
        <f>'Occ T5'!H46</f>
        <v>65.125050499597705</v>
      </c>
      <c r="P5" s="11">
        <f>'Occ T5'!G46</f>
        <v>142.54903750174117</v>
      </c>
    </row>
    <row r="6" spans="1:16" x14ac:dyDescent="0.3">
      <c r="M6" s="10" t="str">
        <f>name!E7</f>
        <v>Administrative and secretarial occupations</v>
      </c>
      <c r="N6" s="11">
        <f>'Occ T5'!I47</f>
        <v>2.2381763267516703</v>
      </c>
      <c r="O6" s="11">
        <f>'Occ T5'!H47</f>
        <v>-177.80257269612753</v>
      </c>
      <c r="P6" s="11">
        <f>'Occ T5'!G47</f>
        <v>-251.34388522210588</v>
      </c>
    </row>
    <row r="7" spans="1:16" x14ac:dyDescent="0.3">
      <c r="M7" s="10" t="str">
        <f>name!E8</f>
        <v>Skilled trades occupations</v>
      </c>
      <c r="N7" s="11">
        <f>'Occ T5'!I48</f>
        <v>97.489141258605741</v>
      </c>
      <c r="O7" s="11">
        <f>'Occ T5'!H48</f>
        <v>41.998474393856497</v>
      </c>
      <c r="P7" s="11">
        <f>'Occ T5'!G48</f>
        <v>-155.6276366978318</v>
      </c>
    </row>
    <row r="8" spans="1:16" x14ac:dyDescent="0.3">
      <c r="M8" s="10" t="str">
        <f>name!E9</f>
        <v>Caring, leisure and other service occupations</v>
      </c>
      <c r="N8" s="11">
        <f>'Occ T5'!I49</f>
        <v>58.925927002451488</v>
      </c>
      <c r="O8" s="11">
        <f>'Occ T5'!H49</f>
        <v>100.63250392541613</v>
      </c>
      <c r="P8" s="11">
        <f>'Occ T5'!G49</f>
        <v>261.36884134736579</v>
      </c>
    </row>
    <row r="9" spans="1:16" x14ac:dyDescent="0.3">
      <c r="M9" s="10" t="str">
        <f>name!E10</f>
        <v>Sales and customer service occupations</v>
      </c>
      <c r="N9" s="11">
        <f>'Occ T5'!I50</f>
        <v>-14.945433086038037</v>
      </c>
      <c r="O9" s="11">
        <f>'Occ T5'!H50</f>
        <v>22.46622720199025</v>
      </c>
      <c r="P9" s="11">
        <f>'Occ T5'!G50</f>
        <v>18.94121104766225</v>
      </c>
    </row>
    <row r="10" spans="1:16" x14ac:dyDescent="0.3">
      <c r="M10" s="10" t="str">
        <f>name!E11</f>
        <v>Process, plant and machine operatives</v>
      </c>
      <c r="N10" s="11">
        <f>'Occ T5'!I51</f>
        <v>72.171198361390907</v>
      </c>
      <c r="O10" s="11">
        <f>'Occ T5'!H51</f>
        <v>93.035887399920512</v>
      </c>
      <c r="P10" s="11">
        <f>'Occ T5'!G51</f>
        <v>24.742640396609886</v>
      </c>
    </row>
    <row r="11" spans="1:16" x14ac:dyDescent="0.3">
      <c r="M11" s="10" t="str">
        <f>name!E12</f>
        <v>Elementary occupations</v>
      </c>
      <c r="N11" s="11">
        <f>'Occ T5'!I52</f>
        <v>67.199761503578827</v>
      </c>
      <c r="O11" s="11">
        <f>'Occ T5'!H52</f>
        <v>-140.77629881764619</v>
      </c>
      <c r="P11" s="11">
        <f>'Occ T5'!G52</f>
        <v>-20.83418859063454</v>
      </c>
    </row>
    <row r="12" spans="1:16" x14ac:dyDescent="0.3">
      <c r="M12" s="10"/>
      <c r="N12" s="11"/>
      <c r="O12" s="11"/>
      <c r="P12" s="11"/>
    </row>
    <row r="13" spans="1:16" x14ac:dyDescent="0.3">
      <c r="M13" s="10" t="str">
        <f>name!E3</f>
        <v>All occupations</v>
      </c>
      <c r="N13" s="11">
        <f>'Occ T5'!I54</f>
        <v>407.43300001007719</v>
      </c>
      <c r="O13" s="11">
        <f>'Occ T5'!H54</f>
        <v>451.14399997133296</v>
      </c>
      <c r="P13" s="11">
        <f>'Occ T5'!G54</f>
        <v>1351.8330000224705</v>
      </c>
    </row>
    <row r="16" spans="1:16" x14ac:dyDescent="0.3">
      <c r="M16" s="82" t="s">
        <v>18</v>
      </c>
      <c r="N16" t="str">
        <f>N1</f>
        <v>2020-2035</v>
      </c>
    </row>
    <row r="17" spans="13:16" x14ac:dyDescent="0.3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3">
      <c r="M18" s="10" t="str">
        <f>M3</f>
        <v>Managers, directors and senior officials</v>
      </c>
      <c r="N18" s="11">
        <f>'Occ T5'!AO44</f>
        <v>25.14609341552972</v>
      </c>
      <c r="O18" s="11">
        <f>'Occ T5'!AN44</f>
        <v>63.901910787571353</v>
      </c>
      <c r="P18" s="11">
        <f>'Occ T5'!AM44</f>
        <v>208.33393162490245</v>
      </c>
    </row>
    <row r="19" spans="13:16" x14ac:dyDescent="0.3">
      <c r="M19" s="10" t="str">
        <f t="shared" ref="M19:M28" si="0">M4</f>
        <v>Professional occupations</v>
      </c>
      <c r="N19" s="11">
        <f>'Occ T5'!AO45</f>
        <v>24.980835600143223</v>
      </c>
      <c r="O19" s="11">
        <f>'Occ T5'!AN45</f>
        <v>209.58188865327713</v>
      </c>
      <c r="P19" s="11">
        <f>'Occ T5'!AM45</f>
        <v>545.75773434794928</v>
      </c>
    </row>
    <row r="20" spans="13:16" x14ac:dyDescent="0.3">
      <c r="M20" s="10" t="str">
        <f t="shared" si="0"/>
        <v>Associate professional occupations</v>
      </c>
      <c r="N20" s="11">
        <f>'Occ T5'!AO46</f>
        <v>29.286910350284813</v>
      </c>
      <c r="O20" s="11">
        <f>'Occ T5'!AN46</f>
        <v>80.028046064458294</v>
      </c>
      <c r="P20" s="11">
        <f>'Occ T5'!AM46</f>
        <v>175.92175534115563</v>
      </c>
    </row>
    <row r="21" spans="13:16" x14ac:dyDescent="0.3">
      <c r="M21" s="10" t="str">
        <f t="shared" si="0"/>
        <v>Administrative and secretarial occupations</v>
      </c>
      <c r="N21" s="11">
        <f>'Occ T5'!AO47</f>
        <v>-9.7445095908636858</v>
      </c>
      <c r="O21" s="11">
        <f>'Occ T5'!AN47</f>
        <v>-169.98141157059194</v>
      </c>
      <c r="P21" s="11">
        <f>'Occ T5'!AM47</f>
        <v>-291.14796235890776</v>
      </c>
    </row>
    <row r="22" spans="13:16" x14ac:dyDescent="0.3">
      <c r="M22" s="10" t="str">
        <f t="shared" si="0"/>
        <v>Skilled trades occupations</v>
      </c>
      <c r="N22" s="11">
        <f>'Occ T5'!AO48</f>
        <v>30.071530312864013</v>
      </c>
      <c r="O22" s="11">
        <f>'Occ T5'!AN48</f>
        <v>15.365675192330755</v>
      </c>
      <c r="P22" s="11">
        <f>'Occ T5'!AM48</f>
        <v>31.95087272016309</v>
      </c>
    </row>
    <row r="23" spans="13:16" x14ac:dyDescent="0.3">
      <c r="M23" s="10" t="str">
        <f t="shared" si="0"/>
        <v>Caring, leisure and other service occupations</v>
      </c>
      <c r="N23" s="11">
        <f>'Occ T5'!AO49</f>
        <v>36.049068346477384</v>
      </c>
      <c r="O23" s="11">
        <f>'Occ T5'!AN49</f>
        <v>61.239014880872332</v>
      </c>
      <c r="P23" s="11">
        <f>'Occ T5'!AM49</f>
        <v>165.93593356247732</v>
      </c>
    </row>
    <row r="24" spans="13:16" x14ac:dyDescent="0.3">
      <c r="M24" s="10" t="str">
        <f t="shared" si="0"/>
        <v>Sales and customer service occupations</v>
      </c>
      <c r="N24" s="11">
        <f>'Occ T5'!AO50</f>
        <v>-7.3106952454441583</v>
      </c>
      <c r="O24" s="11">
        <f>'Occ T5'!AN50</f>
        <v>-9.460431781232387</v>
      </c>
      <c r="P24" s="11">
        <f>'Occ T5'!AM50</f>
        <v>-24.748133896776039</v>
      </c>
    </row>
    <row r="25" spans="13:16" x14ac:dyDescent="0.3">
      <c r="M25" s="10" t="str">
        <f t="shared" si="0"/>
        <v>Process, plant and machine operatives</v>
      </c>
      <c r="N25" s="11">
        <f>'Occ T5'!AO51</f>
        <v>8.968708941345767</v>
      </c>
      <c r="O25" s="11">
        <f>'Occ T5'!AN51</f>
        <v>49.208738592231242</v>
      </c>
      <c r="P25" s="11">
        <f>'Occ T5'!AM51</f>
        <v>22.942537274387519</v>
      </c>
    </row>
    <row r="26" spans="13:16" x14ac:dyDescent="0.3">
      <c r="M26" s="10" t="str">
        <f t="shared" si="0"/>
        <v>Elementary occupations</v>
      </c>
      <c r="N26" s="11">
        <f>'Occ T5'!AO52</f>
        <v>25.063057880827571</v>
      </c>
      <c r="O26" s="11">
        <f>'Occ T5'!AN52</f>
        <v>-128.66043084717762</v>
      </c>
      <c r="P26" s="11">
        <f>'Occ T5'!AM52</f>
        <v>37.738331405616066</v>
      </c>
    </row>
    <row r="27" spans="13:16" x14ac:dyDescent="0.3">
      <c r="M27" s="10"/>
      <c r="N27" s="11"/>
      <c r="O27" s="11"/>
      <c r="P27" s="11"/>
    </row>
    <row r="28" spans="13:16" x14ac:dyDescent="0.3">
      <c r="M28" s="10" t="str">
        <f t="shared" si="0"/>
        <v>All occupations</v>
      </c>
      <c r="N28" s="11">
        <f>'Occ T5'!AO54</f>
        <v>162.5110000111647</v>
      </c>
      <c r="O28" s="11">
        <f>'Occ T5'!AN54</f>
        <v>171.22299997173741</v>
      </c>
      <c r="P28" s="11">
        <f>'Occ T5'!AM54</f>
        <v>872.68500002096789</v>
      </c>
    </row>
    <row r="31" spans="13:16" x14ac:dyDescent="0.3">
      <c r="M31" s="82" t="s">
        <v>18</v>
      </c>
      <c r="N31" t="str">
        <f>N1</f>
        <v>2020-2035</v>
      </c>
    </row>
    <row r="32" spans="13:16" x14ac:dyDescent="0.3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3">
      <c r="M33" s="10" t="str">
        <f>M3</f>
        <v>Managers, directors and senior officials</v>
      </c>
      <c r="N33" s="11">
        <f>'Occ T5'!Y44</f>
        <v>65.248003095894148</v>
      </c>
      <c r="O33" s="11">
        <f>'Occ T5'!X44</f>
        <v>57.933397065116907</v>
      </c>
      <c r="P33" s="11">
        <f>'Occ T5'!W44</f>
        <v>78.635304788076155</v>
      </c>
    </row>
    <row r="34" spans="1:16" x14ac:dyDescent="0.3">
      <c r="M34" s="10" t="str">
        <f t="shared" ref="M34:M43" si="1">M4</f>
        <v>Professional occupations</v>
      </c>
      <c r="N34" s="11">
        <f>'Occ T5'!Y45</f>
        <v>-24.902176980822389</v>
      </c>
      <c r="O34" s="11">
        <f>'Occ T5'!X45</f>
        <v>115.0475315583609</v>
      </c>
      <c r="P34" s="11">
        <f>'Occ T5'!W45</f>
        <v>499.31000947873599</v>
      </c>
    </row>
    <row r="35" spans="1:16" x14ac:dyDescent="0.3">
      <c r="M35" s="10" t="str">
        <f t="shared" si="1"/>
        <v>Associate professional occupations</v>
      </c>
      <c r="N35" s="11">
        <f>'Occ T5'!Y46</f>
        <v>4.5945631623076792</v>
      </c>
      <c r="O35" s="11">
        <f>'Occ T5'!X46</f>
        <v>-14.902995564860277</v>
      </c>
      <c r="P35" s="11">
        <f>'Occ T5'!W46</f>
        <v>-33.372717839411962</v>
      </c>
    </row>
    <row r="36" spans="1:16" x14ac:dyDescent="0.3">
      <c r="M36" s="10" t="str">
        <f t="shared" si="1"/>
        <v>Administrative and secretarial occupations</v>
      </c>
      <c r="N36" s="11">
        <f>'Occ T5'!Y47</f>
        <v>11.982685917615395</v>
      </c>
      <c r="O36" s="11">
        <f>'Occ T5'!X47</f>
        <v>-7.8211611255371736</v>
      </c>
      <c r="P36" s="11">
        <f>'Occ T5'!W47</f>
        <v>39.804077136800174</v>
      </c>
    </row>
    <row r="37" spans="1:16" x14ac:dyDescent="0.3">
      <c r="M37" s="10" t="str">
        <f t="shared" si="1"/>
        <v>Skilled trades occupations</v>
      </c>
      <c r="N37" s="11">
        <f>'Occ T5'!Y48</f>
        <v>67.417610945742467</v>
      </c>
      <c r="O37" s="11">
        <f>'Occ T5'!X48</f>
        <v>26.632799201525671</v>
      </c>
      <c r="P37" s="11">
        <f>'Occ T5'!W48</f>
        <v>-187.57850941799779</v>
      </c>
    </row>
    <row r="38" spans="1:16" x14ac:dyDescent="0.3">
      <c r="M38" s="10" t="str">
        <f t="shared" si="1"/>
        <v>Caring, leisure and other service occupations</v>
      </c>
      <c r="N38" s="11">
        <f>'Occ T5'!Y49</f>
        <v>22.876858655974296</v>
      </c>
      <c r="O38" s="11">
        <f>'Occ T5'!X49</f>
        <v>39.393489044543884</v>
      </c>
      <c r="P38" s="11">
        <f>'Occ T5'!W49</f>
        <v>95.432907784888471</v>
      </c>
    </row>
    <row r="39" spans="1:16" x14ac:dyDescent="0.3">
      <c r="M39" s="10" t="str">
        <f t="shared" si="1"/>
        <v>Sales and customer service occupations</v>
      </c>
      <c r="N39" s="11">
        <f>'Occ T5'!Y50</f>
        <v>-7.6347378405938571</v>
      </c>
      <c r="O39" s="11">
        <f>'Occ T5'!X50</f>
        <v>31.926658983223433</v>
      </c>
      <c r="P39" s="11">
        <f>'Occ T5'!W50</f>
        <v>43.68934494443829</v>
      </c>
    </row>
    <row r="40" spans="1:16" ht="15.45" x14ac:dyDescent="0.4">
      <c r="A40" s="79" t="str">
        <f>CONCATENATE("Occupation Figure 5.1 Females:  Occupational Change by Status (000s) (SOC 2020), ",N1,", ",Info!B5)</f>
        <v>Occupation Figure 5.1 Females:  Occupational Change by Status (000s) (SOC 2020), 2020-2035, England</v>
      </c>
      <c r="M40" s="10" t="str">
        <f t="shared" si="1"/>
        <v>Process, plant and machine operatives</v>
      </c>
      <c r="N40" s="11">
        <f>'Occ T5'!Y51</f>
        <v>63.202489420045197</v>
      </c>
      <c r="O40" s="11">
        <f>'Occ T5'!X51</f>
        <v>43.827148807689383</v>
      </c>
      <c r="P40" s="11">
        <f>'Occ T5'!W51</f>
        <v>1.8001031222231632</v>
      </c>
    </row>
    <row r="41" spans="1:16" x14ac:dyDescent="0.3">
      <c r="M41" s="10" t="str">
        <f t="shared" si="1"/>
        <v>Elementary occupations</v>
      </c>
      <c r="N41" s="11">
        <f>'Occ T5'!Y52</f>
        <v>42.13670362275127</v>
      </c>
      <c r="O41" s="11">
        <f>'Occ T5'!X52</f>
        <v>-12.115867970466297</v>
      </c>
      <c r="P41" s="11">
        <f>'Occ T5'!W52</f>
        <v>-58.572519996249525</v>
      </c>
    </row>
    <row r="42" spans="1:16" x14ac:dyDescent="0.3">
      <c r="M42" s="10"/>
      <c r="N42" s="11"/>
      <c r="O42" s="11"/>
      <c r="P42" s="11"/>
    </row>
    <row r="43" spans="1:16" x14ac:dyDescent="0.3">
      <c r="M43" s="10" t="str">
        <f t="shared" si="1"/>
        <v>All occupations</v>
      </c>
      <c r="N43" s="11">
        <f>'Occ T5'!Y54</f>
        <v>244.92199999891409</v>
      </c>
      <c r="O43" s="11">
        <f>'Occ T5'!X54</f>
        <v>279.92099999959601</v>
      </c>
      <c r="P43" s="11">
        <f>'Occ T5'!W54</f>
        <v>479.14800000150353</v>
      </c>
    </row>
    <row r="79" spans="1:1" ht="15.45" x14ac:dyDescent="0.4">
      <c r="A79" s="79" t="str">
        <f>CONCATENATE("Occupation Figure 5.2 Males:  Occupational Change by Status (000s) (SOC 2020), ",N1,", ",Info!B5)</f>
        <v>Occupation Figure 5.2 Males:  Occupational Change by Status (000s) (SOC 2020), 2020-2035, England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45" x14ac:dyDescent="0.3"/>
  <cols>
    <col min="1" max="1" width="36.69140625" customWidth="1"/>
    <col min="2" max="6" width="11.69140625" customWidth="1"/>
  </cols>
  <sheetData>
    <row r="1" spans="1:7" ht="15.45" x14ac:dyDescent="0.4">
      <c r="A1" s="18" t="str">
        <f>CONCATENATE("Qualification Table 1  Employment by Qualification, ",B$3,"-",F$3,", ",Info!B5)</f>
        <v>Qualification Table 1  Employment by Qualification, 2015-2035, England</v>
      </c>
    </row>
    <row r="2" spans="1:7" x14ac:dyDescent="0.3">
      <c r="A2" s="1" t="s">
        <v>537</v>
      </c>
    </row>
    <row r="3" spans="1:7" x14ac:dyDescent="0.3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3">
      <c r="A4" s="1" t="s">
        <v>13</v>
      </c>
      <c r="C4" s="10"/>
      <c r="D4" s="10"/>
      <c r="E4" s="10"/>
      <c r="F4" s="10"/>
    </row>
    <row r="5" spans="1:7" x14ac:dyDescent="0.3">
      <c r="A5" t="str">
        <f>name!F4</f>
        <v>RQF8 Doctorate</v>
      </c>
      <c r="B5" s="11">
        <f>HLOOKUP(B$3,'Qual F1'!$M$4:$BZ$14,11,FALSE)</f>
        <v>393.72032912482803</v>
      </c>
      <c r="C5" s="11">
        <f>HLOOKUP(C$3,'Qual F1'!$M$4:$BZ$14,11,FALSE)</f>
        <v>507.77283542055346</v>
      </c>
      <c r="D5" s="11">
        <f>HLOOKUP(D$3,'Qual F1'!$M$4:$BZ$14,11,FALSE)</f>
        <v>522.64787196202724</v>
      </c>
      <c r="E5" s="11">
        <f>HLOOKUP(E$3,'Qual F1'!$M$4:$BZ$14,11,FALSE)</f>
        <v>669.85441339156375</v>
      </c>
      <c r="F5" s="11">
        <f>HLOOKUP(F$3,'Qual F1'!$M$4:$BZ$14,11,FALSE)</f>
        <v>934.29562779049672</v>
      </c>
      <c r="G5" s="11"/>
    </row>
    <row r="6" spans="1:7" x14ac:dyDescent="0.3">
      <c r="A6" t="str">
        <f>name!F5</f>
        <v>RQF7 Other higher degree</v>
      </c>
      <c r="B6" s="11">
        <f>HLOOKUP(B$3,'Qual F1'!$M$4:$BZ$14,10,FALSE)</f>
        <v>2754.1142531476803</v>
      </c>
      <c r="C6" s="11">
        <f>HLOOKUP(C$3,'Qual F1'!$M$4:$BZ$14,10,FALSE)</f>
        <v>3602.5037901916585</v>
      </c>
      <c r="D6" s="11">
        <f>HLOOKUP(D$3,'Qual F1'!$M$4:$BZ$14,10,FALSE)</f>
        <v>3765.2895086273265</v>
      </c>
      <c r="E6" s="11">
        <f>HLOOKUP(E$3,'Qual F1'!$M$4:$BZ$14,10,FALSE)</f>
        <v>4821.6227812757252</v>
      </c>
      <c r="F6" s="11">
        <f>HLOOKUP(F$3,'Qual F1'!$M$4:$BZ$14,10,FALSE)</f>
        <v>6789.3769020925147</v>
      </c>
      <c r="G6" s="11"/>
    </row>
    <row r="7" spans="1:7" x14ac:dyDescent="0.3">
      <c r="A7" t="str">
        <f>name!F6</f>
        <v>RQF6 First degree</v>
      </c>
      <c r="B7" s="11">
        <f>HLOOKUP(B$3,'Qual F1'!$M$4:$BZ$14,9,FALSE)</f>
        <v>5584.3807768145707</v>
      </c>
      <c r="C7" s="11">
        <f>HLOOKUP(C$3,'Qual F1'!$M$4:$BZ$14,9,FALSE)</f>
        <v>6107.7777430294245</v>
      </c>
      <c r="D7" s="11">
        <f>HLOOKUP(D$3,'Qual F1'!$M$4:$BZ$14,9,FALSE)</f>
        <v>6391.7857047961734</v>
      </c>
      <c r="E7" s="11">
        <f>HLOOKUP(E$3,'Qual F1'!$M$4:$BZ$14,9,FALSE)</f>
        <v>6786.353670151364</v>
      </c>
      <c r="F7" s="11">
        <f>HLOOKUP(F$3,'Qual F1'!$M$4:$BZ$14,9,FALSE)</f>
        <v>7600.0146035431453</v>
      </c>
      <c r="G7" s="11"/>
    </row>
    <row r="8" spans="1:7" x14ac:dyDescent="0.3">
      <c r="A8" t="str">
        <f>name!F7</f>
        <v>RQF5 Foundation degree;Nursing;Teaching</v>
      </c>
      <c r="B8" s="11">
        <f>HLOOKUP(B$3,'Qual F1'!$M$4:$BZ$14,8,FALSE)</f>
        <v>1634.7622700058328</v>
      </c>
      <c r="C8" s="11">
        <f>HLOOKUP(C$3,'Qual F1'!$M$4:$BZ$14,8,FALSE)</f>
        <v>1634.5018593060929</v>
      </c>
      <c r="D8" s="11">
        <f>HLOOKUP(D$3,'Qual F1'!$M$4:$BZ$14,8,FALSE)</f>
        <v>1705.9419206369128</v>
      </c>
      <c r="E8" s="11">
        <f>HLOOKUP(E$3,'Qual F1'!$M$4:$BZ$14,8,FALSE)</f>
        <v>1703.5284462232416</v>
      </c>
      <c r="F8" s="11">
        <f>HLOOKUP(F$3,'Qual F1'!$M$4:$BZ$14,8,FALSE)</f>
        <v>1868.8532961954377</v>
      </c>
      <c r="G8" s="11"/>
    </row>
    <row r="9" spans="1:7" x14ac:dyDescent="0.3">
      <c r="A9" t="str">
        <f>name!F8</f>
        <v>RQF4 HE below degree level</v>
      </c>
      <c r="B9" s="11">
        <f>HLOOKUP(B$3,'Qual F1'!$M$4:$BZ$14,7,FALSE)</f>
        <v>1538.7570902922546</v>
      </c>
      <c r="C9" s="11">
        <f>HLOOKUP(C$3,'Qual F1'!$M$4:$BZ$14,7,FALSE)</f>
        <v>1642.6509417224654</v>
      </c>
      <c r="D9" s="11">
        <f>HLOOKUP(D$3,'Qual F1'!$M$4:$BZ$14,7,FALSE)</f>
        <v>1728.4186881347291</v>
      </c>
      <c r="E9" s="11">
        <f>HLOOKUP(E$3,'Qual F1'!$M$4:$BZ$14,7,FALSE)</f>
        <v>1800.9127886997999</v>
      </c>
      <c r="F9" s="11">
        <f>HLOOKUP(F$3,'Qual F1'!$M$4:$BZ$14,7,FALSE)</f>
        <v>2040.3810684286743</v>
      </c>
      <c r="G9" s="11"/>
    </row>
    <row r="10" spans="1:7" x14ac:dyDescent="0.3">
      <c r="A10" t="str">
        <f>name!F9</f>
        <v>RQF3 A level &amp; equivalent</v>
      </c>
      <c r="B10" s="11">
        <f>HLOOKUP(B$3,'Qual F1'!$M$4:$BZ$14,6,FALSE)</f>
        <v>5639.2616360428665</v>
      </c>
      <c r="C10" s="11">
        <f>HLOOKUP(C$3,'Qual F1'!$M$4:$BZ$14,6,FALSE)</f>
        <v>5832.8497135580028</v>
      </c>
      <c r="D10" s="11">
        <f>HLOOKUP(D$3,'Qual F1'!$M$4:$BZ$14,6,FALSE)</f>
        <v>5842.7949099002572</v>
      </c>
      <c r="E10" s="11">
        <f>HLOOKUP(E$3,'Qual F1'!$M$4:$BZ$14,6,FALSE)</f>
        <v>5811.9310878058386</v>
      </c>
      <c r="F10" s="11">
        <f>HLOOKUP(F$3,'Qual F1'!$M$4:$BZ$14,6,FALSE)</f>
        <v>5820.8764372949108</v>
      </c>
      <c r="G10" s="11"/>
    </row>
    <row r="11" spans="1:7" x14ac:dyDescent="0.3">
      <c r="A11" t="str">
        <f>name!F10</f>
        <v>RQF2 GCSE(A-C) &amp; equivalent</v>
      </c>
      <c r="B11" s="11">
        <f>HLOOKUP(B$3,'Qual F1'!$M$4:$BZ$14,5,FALSE)</f>
        <v>5710.2594647863762</v>
      </c>
      <c r="C11" s="11">
        <f>HLOOKUP(C$3,'Qual F1'!$M$4:$BZ$14,5,FALSE)</f>
        <v>5758.7634162135182</v>
      </c>
      <c r="D11" s="11">
        <f>HLOOKUP(D$3,'Qual F1'!$M$4:$BZ$14,5,FALSE)</f>
        <v>5330.1618704903021</v>
      </c>
      <c r="E11" s="11">
        <f>HLOOKUP(E$3,'Qual F1'!$M$4:$BZ$14,5,FALSE)</f>
        <v>5134.446482014815</v>
      </c>
      <c r="F11" s="11">
        <f>HLOOKUP(F$3,'Qual F1'!$M$4:$BZ$14,5,FALSE)</f>
        <v>4272.5426973519789</v>
      </c>
      <c r="G11" s="11"/>
    </row>
    <row r="12" spans="1:7" x14ac:dyDescent="0.3">
      <c r="A12" t="str">
        <f>name!F11</f>
        <v>RQF1 GCSE(below grade C) &amp; equivalent</v>
      </c>
      <c r="B12" s="11">
        <f>HLOOKUP(B$3,'Qual F1'!$M$4:$BZ$14,4,FALSE)</f>
        <v>3914.3609839876071</v>
      </c>
      <c r="C12" s="11">
        <f>HLOOKUP(C$3,'Qual F1'!$M$4:$BZ$14,4,FALSE)</f>
        <v>3791.507433066743</v>
      </c>
      <c r="D12" s="11">
        <f>HLOOKUP(D$3,'Qual F1'!$M$4:$BZ$14,4,FALSE)</f>
        <v>3433.3407975165919</v>
      </c>
      <c r="E12" s="11">
        <f>HLOOKUP(E$3,'Qual F1'!$M$4:$BZ$14,4,FALSE)</f>
        <v>3089.2371506086829</v>
      </c>
      <c r="F12" s="11">
        <f>HLOOKUP(F$3,'Qual F1'!$M$4:$BZ$14,4,FALSE)</f>
        <v>2049.7111319639862</v>
      </c>
      <c r="G12" s="11"/>
    </row>
    <row r="13" spans="1:7" x14ac:dyDescent="0.3">
      <c r="A13" t="str">
        <f>name!F12</f>
        <v>No Qualification</v>
      </c>
      <c r="B13" s="11">
        <f>HLOOKUP(B$3,'Qual F1'!$M$4:$BZ$14,3,FALSE)</f>
        <v>1486.5551957958019</v>
      </c>
      <c r="C13" s="11">
        <f>HLOOKUP(C$3,'Qual F1'!$M$4:$BZ$14,3,FALSE)</f>
        <v>1334.4322674854236</v>
      </c>
      <c r="D13" s="11">
        <f>HLOOKUP(D$3,'Qual F1'!$M$4:$BZ$14,3,FALSE)</f>
        <v>1139.2997279306737</v>
      </c>
      <c r="E13" s="11">
        <f>HLOOKUP(E$3,'Qual F1'!$M$4:$BZ$14,3,FALSE)</f>
        <v>936.86117983903137</v>
      </c>
      <c r="F13" s="11">
        <f>HLOOKUP(F$3,'Qual F1'!$M$4:$BZ$14,3,FALSE)</f>
        <v>694.03923533775969</v>
      </c>
      <c r="G13" s="11"/>
    </row>
    <row r="14" spans="1:7" x14ac:dyDescent="0.3">
      <c r="B14" s="11"/>
      <c r="C14" s="11"/>
      <c r="D14" s="11"/>
      <c r="E14" s="11"/>
      <c r="F14" s="11"/>
      <c r="G14" s="11"/>
    </row>
    <row r="15" spans="1:7" x14ac:dyDescent="0.3">
      <c r="A15" t="str">
        <f>name!F3</f>
        <v>All qualifications</v>
      </c>
      <c r="B15" s="11">
        <f>SUM(B5:B13)</f>
        <v>28656.17199999782</v>
      </c>
      <c r="C15" s="11">
        <f t="shared" ref="C15:F15" si="0">SUM(C5:C13)</f>
        <v>30212.759999993879</v>
      </c>
      <c r="D15" s="11">
        <f t="shared" si="0"/>
        <v>29859.680999994991</v>
      </c>
      <c r="E15" s="11">
        <f t="shared" si="0"/>
        <v>30754.748000010062</v>
      </c>
      <c r="F15" s="11">
        <f t="shared" si="0"/>
        <v>32070.090999998902</v>
      </c>
      <c r="G15" s="11"/>
    </row>
    <row r="16" spans="1:7" x14ac:dyDescent="0.3">
      <c r="B16" s="11"/>
      <c r="C16" s="11"/>
      <c r="D16" s="11"/>
      <c r="E16" s="11"/>
      <c r="F16" s="11"/>
      <c r="G16" s="11"/>
    </row>
    <row r="17" spans="1:7" x14ac:dyDescent="0.3">
      <c r="B17" s="11"/>
      <c r="C17" s="11"/>
      <c r="D17" s="11"/>
      <c r="E17" s="11"/>
      <c r="F17" s="11"/>
      <c r="G17" s="11"/>
    </row>
    <row r="18" spans="1:7" x14ac:dyDescent="0.3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3">
      <c r="A19" t="str">
        <f>$A5</f>
        <v>RQF8 Doctorate</v>
      </c>
      <c r="B19" s="17">
        <f t="shared" ref="B19:F21" si="1">B5/B$15*100</f>
        <v>1.3739460006202433</v>
      </c>
      <c r="C19" s="17">
        <f t="shared" si="1"/>
        <v>1.6806568993387438</v>
      </c>
      <c r="D19" s="17">
        <f t="shared" si="1"/>
        <v>1.7503464687453123</v>
      </c>
      <c r="E19" s="17">
        <f>E5/E$15*100</f>
        <v>2.1780520308322622</v>
      </c>
      <c r="F19" s="17">
        <f t="shared" si="1"/>
        <v>2.9132927243347351</v>
      </c>
      <c r="G19" s="11"/>
    </row>
    <row r="20" spans="1:7" x14ac:dyDescent="0.3">
      <c r="A20" t="str">
        <f>$A6</f>
        <v>RQF7 Other higher degree</v>
      </c>
      <c r="B20" s="17">
        <f t="shared" si="1"/>
        <v>9.6108937828398346</v>
      </c>
      <c r="C20" s="17">
        <f t="shared" si="1"/>
        <v>11.92378250180516</v>
      </c>
      <c r="D20" s="17">
        <f t="shared" si="1"/>
        <v>12.609945526973171</v>
      </c>
      <c r="E20" s="17">
        <f t="shared" si="1"/>
        <v>15.67765335379808</v>
      </c>
      <c r="F20" s="17">
        <f t="shared" si="1"/>
        <v>21.170432294977733</v>
      </c>
      <c r="G20" s="11"/>
    </row>
    <row r="21" spans="1:7" x14ac:dyDescent="0.3">
      <c r="A21" t="str">
        <f>$A7</f>
        <v>RQF6 First degree</v>
      </c>
      <c r="B21" s="17">
        <f t="shared" si="1"/>
        <v>19.487532308275494</v>
      </c>
      <c r="C21" s="17">
        <f t="shared" si="1"/>
        <v>20.215888065276598</v>
      </c>
      <c r="D21" s="17">
        <f t="shared" si="1"/>
        <v>21.406074983846096</v>
      </c>
      <c r="E21" s="17">
        <f t="shared" si="1"/>
        <v>22.066035690323798</v>
      </c>
      <c r="F21" s="17">
        <f t="shared" si="1"/>
        <v>23.698138566377644</v>
      </c>
      <c r="G21" s="11"/>
    </row>
    <row r="22" spans="1:7" x14ac:dyDescent="0.3">
      <c r="A22" t="str">
        <f t="shared" ref="A22:A27" si="2">$A8</f>
        <v>RQF5 Foundation degree;Nursing;Teaching</v>
      </c>
      <c r="B22" s="17">
        <f t="shared" ref="B22:F22" si="3">B8/B$15*100</f>
        <v>5.7047475496935087</v>
      </c>
      <c r="C22" s="17">
        <f t="shared" si="3"/>
        <v>5.4099720095298283</v>
      </c>
      <c r="D22" s="17">
        <f t="shared" si="3"/>
        <v>5.71319539762397</v>
      </c>
      <c r="E22" s="17">
        <f t="shared" si="3"/>
        <v>5.5390746372647381</v>
      </c>
      <c r="F22" s="17">
        <f t="shared" si="3"/>
        <v>5.8274025358877264</v>
      </c>
      <c r="G22" s="11"/>
    </row>
    <row r="23" spans="1:7" x14ac:dyDescent="0.3">
      <c r="A23" t="str">
        <f t="shared" si="2"/>
        <v>RQF4 HE below degree level</v>
      </c>
      <c r="B23" s="17">
        <f t="shared" ref="B23:F23" si="4">B9/B$15*100</f>
        <v>5.3697231098849194</v>
      </c>
      <c r="C23" s="17">
        <f t="shared" si="4"/>
        <v>5.4369443298884255</v>
      </c>
      <c r="D23" s="17">
        <f t="shared" si="4"/>
        <v>5.7884700380255873</v>
      </c>
      <c r="E23" s="17">
        <f t="shared" si="4"/>
        <v>5.8557227934340759</v>
      </c>
      <c r="F23" s="17">
        <f t="shared" si="4"/>
        <v>6.3622553126797934</v>
      </c>
      <c r="G23" s="11"/>
    </row>
    <row r="24" spans="1:7" x14ac:dyDescent="0.3">
      <c r="A24" t="str">
        <f t="shared" si="2"/>
        <v>RQF3 A level &amp; equivalent</v>
      </c>
      <c r="B24" s="17">
        <f t="shared" ref="B24:F24" si="5">B10/B$15*100</f>
        <v>19.679047278343024</v>
      </c>
      <c r="C24" s="17">
        <f t="shared" si="5"/>
        <v>19.305914830552336</v>
      </c>
      <c r="D24" s="17">
        <f t="shared" si="5"/>
        <v>19.567506129423275</v>
      </c>
      <c r="E24" s="17">
        <f t="shared" si="5"/>
        <v>18.897670980116427</v>
      </c>
      <c r="F24" s="17">
        <f t="shared" si="5"/>
        <v>18.150483069396685</v>
      </c>
      <c r="G24" s="11"/>
    </row>
    <row r="25" spans="1:7" x14ac:dyDescent="0.3">
      <c r="A25" t="str">
        <f t="shared" si="2"/>
        <v>RQF2 GCSE(A-C) &amp; equivalent</v>
      </c>
      <c r="B25" s="17">
        <f t="shared" ref="B25:F25" si="6">B11/B$15*100</f>
        <v>19.926804825106476</v>
      </c>
      <c r="C25" s="17">
        <f t="shared" si="6"/>
        <v>19.060699572679507</v>
      </c>
      <c r="D25" s="17">
        <f t="shared" si="6"/>
        <v>17.850699310857326</v>
      </c>
      <c r="E25" s="17">
        <f t="shared" si="6"/>
        <v>16.694809146259743</v>
      </c>
      <c r="F25" s="17">
        <f t="shared" si="6"/>
        <v>13.322515041669588</v>
      </c>
      <c r="G25" s="11"/>
    </row>
    <row r="26" spans="1:7" x14ac:dyDescent="0.3">
      <c r="A26" t="str">
        <f t="shared" si="2"/>
        <v>RQF1 GCSE(below grade C) &amp; equivalent</v>
      </c>
      <c r="B26" s="17">
        <f t="shared" ref="B26:F26" si="7">B12/B$15*100</f>
        <v>13.659748357135438</v>
      </c>
      <c r="C26" s="17">
        <f>C12/C$15*100</f>
        <v>12.549358062843352</v>
      </c>
      <c r="D26" s="17">
        <f t="shared" si="7"/>
        <v>11.498250090204138</v>
      </c>
      <c r="E26" s="17">
        <f t="shared" si="7"/>
        <v>10.044748702241593</v>
      </c>
      <c r="F26" s="17">
        <f t="shared" si="7"/>
        <v>6.3913480381582222</v>
      </c>
      <c r="G26" s="11"/>
    </row>
    <row r="27" spans="1:7" x14ac:dyDescent="0.3">
      <c r="A27" t="str">
        <f t="shared" si="2"/>
        <v>No Qualification</v>
      </c>
      <c r="B27" s="17">
        <f t="shared" ref="B27:F27" si="8">B13/B$15*100</f>
        <v>5.1875567881010589</v>
      </c>
      <c r="C27" s="17">
        <f>C13/C$15*100</f>
        <v>4.4167837280860596</v>
      </c>
      <c r="D27" s="17">
        <f t="shared" si="8"/>
        <v>3.8155120543011325</v>
      </c>
      <c r="E27" s="17">
        <f t="shared" si="8"/>
        <v>3.046232665729288</v>
      </c>
      <c r="F27" s="17">
        <f t="shared" si="8"/>
        <v>2.164132416517881</v>
      </c>
      <c r="G27" s="11"/>
    </row>
    <row r="28" spans="1:7" x14ac:dyDescent="0.3">
      <c r="B28" s="17"/>
      <c r="C28" s="17"/>
      <c r="D28" s="17"/>
      <c r="E28" s="17"/>
      <c r="F28" s="17"/>
      <c r="G28" s="11"/>
    </row>
    <row r="29" spans="1:7" x14ac:dyDescent="0.3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3">
      <c r="B30" s="17"/>
      <c r="C30" s="17"/>
      <c r="D30" s="17"/>
      <c r="E30" s="17"/>
      <c r="F30" s="17"/>
      <c r="G30" s="11"/>
    </row>
    <row r="32" spans="1:7" x14ac:dyDescent="0.3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3">
      <c r="A33" t="str">
        <f>$A19</f>
        <v>RQF8 Doctorate</v>
      </c>
      <c r="B33" s="17">
        <f>IF(C$3-B$3 &lt;&gt; 0,(EXP(LN(C5/B5)/(C$3-B$3))-1)*100,0)</f>
        <v>6.5664272878815266</v>
      </c>
      <c r="C33" s="17">
        <f t="shared" ref="B33:E35" si="9">IF(D$3-C$3 &lt;&gt; 0,(EXP(LN(D5/C5)/(D$3-C$3))-1)*100,0)</f>
        <v>2.9294667819624198</v>
      </c>
      <c r="D33" s="17">
        <f t="shared" si="9"/>
        <v>5.0882711479763421</v>
      </c>
      <c r="E33" s="17">
        <f t="shared" si="9"/>
        <v>3.3832996631175227</v>
      </c>
      <c r="F33" s="17">
        <f>IF(F$3-D$3 &lt;&gt; 0,(EXP(LN(F5/D5)/(F$3-D$3))-1)*100,0)</f>
        <v>3.9485275867186642</v>
      </c>
    </row>
    <row r="34" spans="1:6" x14ac:dyDescent="0.3">
      <c r="A34" t="str">
        <f>$A20</f>
        <v>RQF7 Other higher degree</v>
      </c>
      <c r="B34" s="17">
        <f t="shared" si="9"/>
        <v>6.9438028850268951</v>
      </c>
      <c r="C34" s="17">
        <f t="shared" si="9"/>
        <v>4.5186827805393515</v>
      </c>
      <c r="D34" s="17">
        <f t="shared" si="9"/>
        <v>5.0700578186199552</v>
      </c>
      <c r="E34" s="17">
        <f t="shared" si="9"/>
        <v>3.4817271892927826</v>
      </c>
      <c r="F34" s="17">
        <f t="shared" ref="F34:F43" si="10">IF(F$3-D$3 &lt;&gt; 0,(EXP(LN(F6/D6)/(F$3-D$3))-1)*100,0)</f>
        <v>4.0084848050852884</v>
      </c>
    </row>
    <row r="35" spans="1:6" x14ac:dyDescent="0.3">
      <c r="A35" t="str">
        <f>$A21</f>
        <v>RQF6 First degree</v>
      </c>
      <c r="B35" s="17">
        <f t="shared" si="9"/>
        <v>2.2650065258754903</v>
      </c>
      <c r="C35" s="17">
        <f t="shared" si="9"/>
        <v>4.649939367732836</v>
      </c>
      <c r="D35" s="17">
        <f t="shared" si="9"/>
        <v>1.205206791473179</v>
      </c>
      <c r="E35" s="17">
        <f t="shared" si="9"/>
        <v>1.1387993696401644</v>
      </c>
      <c r="F35" s="17">
        <f t="shared" si="10"/>
        <v>1.1609303339168431</v>
      </c>
    </row>
    <row r="36" spans="1:6" x14ac:dyDescent="0.3">
      <c r="A36" t="str">
        <f t="shared" ref="A36:A41" si="11">$A22</f>
        <v>RQF5 Foundation degree;Nursing;Teaching</v>
      </c>
      <c r="B36" s="17">
        <f>IF(C$3-B$3 &lt;&gt; 0,(EXP(LN(C8/B8)/(C$3-B$3))-1)*100,0)</f>
        <v>-3.9826319372826546E-3</v>
      </c>
      <c r="C36" s="17">
        <f t="shared" ref="C36:E36" si="12">IF(D$3-C$3 &lt;&gt; 0,(EXP(LN(D8/C8)/(D$3-C$3))-1)*100,0)</f>
        <v>4.3707543631151813</v>
      </c>
      <c r="D36" s="17">
        <f t="shared" si="12"/>
        <v>-2.8310944542764283E-2</v>
      </c>
      <c r="E36" s="17">
        <f t="shared" si="12"/>
        <v>0.93053657443717963</v>
      </c>
      <c r="F36" s="17">
        <f t="shared" si="10"/>
        <v>0.60990323423815163</v>
      </c>
    </row>
    <row r="37" spans="1:6" x14ac:dyDescent="0.3">
      <c r="A37" t="str">
        <f t="shared" si="11"/>
        <v>RQF4 HE below degree level</v>
      </c>
      <c r="B37" s="17">
        <f t="shared" ref="B37:E37" si="13">IF(C$3-B$3 &lt;&gt; 0,(EXP(LN(C9/B9)/(C$3-B$3))-1)*100,0)</f>
        <v>1.6468220138964096</v>
      </c>
      <c r="C37" s="17">
        <f t="shared" si="13"/>
        <v>5.2213007787478283</v>
      </c>
      <c r="D37" s="17">
        <f t="shared" si="13"/>
        <v>0.82511957725721619</v>
      </c>
      <c r="E37" s="17">
        <f t="shared" si="13"/>
        <v>1.2562548863707557</v>
      </c>
      <c r="F37" s="17">
        <f t="shared" si="10"/>
        <v>1.1123386644444011</v>
      </c>
    </row>
    <row r="38" spans="1:6" x14ac:dyDescent="0.3">
      <c r="A38" t="str">
        <f t="shared" si="11"/>
        <v>RQF3 A level &amp; equivalent</v>
      </c>
      <c r="B38" s="17">
        <f t="shared" ref="B38:E38" si="14">IF(C$3-B$3 &lt;&gt; 0,(EXP(LN(C10/B10)/(C$3-B$3))-1)*100,0)</f>
        <v>0.84738367190442254</v>
      </c>
      <c r="C38" s="17">
        <f t="shared" si="14"/>
        <v>0.17050321593470308</v>
      </c>
      <c r="D38" s="17">
        <f t="shared" si="14"/>
        <v>-0.10587139790725342</v>
      </c>
      <c r="E38" s="17">
        <f t="shared" si="14"/>
        <v>1.5380705207035383E-2</v>
      </c>
      <c r="F38" s="17">
        <f t="shared" si="10"/>
        <v>-2.5053006631270414E-2</v>
      </c>
    </row>
    <row r="39" spans="1:6" x14ac:dyDescent="0.3">
      <c r="A39" t="str">
        <f t="shared" si="11"/>
        <v>RQF2 GCSE(A-C) &amp; equivalent</v>
      </c>
      <c r="B39" s="17">
        <f t="shared" ref="B39:E39" si="15">IF(C$3-B$3 &lt;&gt; 0,(EXP(LN(C11/B11)/(C$3-B$3))-1)*100,0)</f>
        <v>0.21168132727671374</v>
      </c>
      <c r="C39" s="17">
        <f t="shared" si="15"/>
        <v>-7.4425968692603206</v>
      </c>
      <c r="D39" s="17">
        <f t="shared" si="15"/>
        <v>-0.74539927715939758</v>
      </c>
      <c r="E39" s="17">
        <f t="shared" si="15"/>
        <v>-1.8208476954291064</v>
      </c>
      <c r="F39" s="17">
        <f t="shared" si="10"/>
        <v>-1.4636659144030451</v>
      </c>
    </row>
    <row r="40" spans="1:6" x14ac:dyDescent="0.3">
      <c r="A40" t="str">
        <f t="shared" si="11"/>
        <v>RQF1 GCSE(below grade C) &amp; equivalent</v>
      </c>
      <c r="B40" s="17">
        <f t="shared" ref="B40:E40" si="16">IF(C$3-B$3 &lt;&gt; 0,(EXP(LN(C12/B12)/(C$3-B$3))-1)*100,0)</f>
        <v>-0.79404105654012902</v>
      </c>
      <c r="C40" s="17">
        <f t="shared" si="16"/>
        <v>-9.4465497397284501</v>
      </c>
      <c r="D40" s="17">
        <f t="shared" si="16"/>
        <v>-2.0900413940605711</v>
      </c>
      <c r="E40" s="17">
        <f t="shared" si="16"/>
        <v>-4.0192495874246559</v>
      </c>
      <c r="F40" s="17">
        <f t="shared" si="10"/>
        <v>-3.3804412669594774</v>
      </c>
    </row>
    <row r="41" spans="1:6" x14ac:dyDescent="0.3">
      <c r="A41" t="str">
        <f t="shared" si="11"/>
        <v>No Qualification</v>
      </c>
      <c r="B41" s="17">
        <f t="shared" ref="B41:E41" si="17">IF(C$3-B$3 &lt;&gt; 0,(EXP(LN(C13/B13)/(C$3-B$3))-1)*100,0)</f>
        <v>-2.6627944505365875</v>
      </c>
      <c r="C41" s="17">
        <f t="shared" si="17"/>
        <v>-14.6228882731121</v>
      </c>
      <c r="D41" s="17">
        <f t="shared" si="17"/>
        <v>-3.8371225706036238</v>
      </c>
      <c r="E41" s="17">
        <f t="shared" si="17"/>
        <v>-2.9555109219203901</v>
      </c>
      <c r="F41" s="17">
        <f t="shared" si="10"/>
        <v>-3.2502758902910767</v>
      </c>
    </row>
    <row r="42" spans="1:6" x14ac:dyDescent="0.3">
      <c r="B42" s="17"/>
      <c r="C42" s="17"/>
      <c r="D42" s="17"/>
      <c r="E42" s="17"/>
      <c r="F42" s="17"/>
    </row>
    <row r="43" spans="1:6" x14ac:dyDescent="0.3">
      <c r="A43" t="str">
        <f>$A29</f>
        <v>All qualifications</v>
      </c>
      <c r="B43" s="17">
        <f>IF(C$3-B$3 &lt;&gt; 0,(EXP(LN(C15/B15)/(C$3-B$3))-1)*100,0)</f>
        <v>1.3311698180238363</v>
      </c>
      <c r="C43" s="17">
        <f t="shared" ref="C43" si="18">IF(D$3-C$3 &lt;&gt; 0,(EXP(LN(D15/C15)/(D$3-C$3))-1)*100,0)</f>
        <v>-1.1686419909963885</v>
      </c>
      <c r="D43" s="17">
        <f>IF(E$3-D$3 &lt;&gt; 0,(EXP(LN(E15/D15)/(E$3-D$3))-1)*100,0)</f>
        <v>0.59245370532137187</v>
      </c>
      <c r="E43" s="17">
        <f>IF(F$3-E$3 &lt;&gt; 0,(EXP(LN(F15/E15)/(F$3-E$3))-1)*100,0)</f>
        <v>0.4196727942317624</v>
      </c>
      <c r="F43" s="17">
        <f t="shared" si="10"/>
        <v>0.477233431154378</v>
      </c>
    </row>
    <row r="44" spans="1:6" x14ac:dyDescent="0.3">
      <c r="B44" s="17"/>
      <c r="C44" s="17"/>
      <c r="D44" s="17"/>
      <c r="E44" s="17"/>
      <c r="F44" s="17"/>
    </row>
    <row r="46" spans="1:6" x14ac:dyDescent="0.3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3">
      <c r="A47" t="str">
        <f>$A33</f>
        <v>RQF8 Doctorate</v>
      </c>
      <c r="B47" s="26">
        <f>C5-B5</f>
        <v>114.05250629572544</v>
      </c>
      <c r="C47" s="26">
        <f>D5-C5</f>
        <v>14.875036541473776</v>
      </c>
      <c r="D47" s="26">
        <f>E5-D5</f>
        <v>147.20654142953651</v>
      </c>
      <c r="E47" s="26">
        <f>F5-E5</f>
        <v>264.44121439893297</v>
      </c>
      <c r="F47" s="26">
        <f>F5-D5</f>
        <v>411.64775582846949</v>
      </c>
    </row>
    <row r="48" spans="1:6" x14ac:dyDescent="0.3">
      <c r="A48" t="str">
        <f t="shared" ref="A48:A55" si="19">$A34</f>
        <v>RQF7 Other higher degree</v>
      </c>
      <c r="B48" s="26">
        <f t="shared" ref="B48:E48" si="20">C6-B6</f>
        <v>848.38953704397818</v>
      </c>
      <c r="C48" s="26">
        <f t="shared" si="20"/>
        <v>162.78571843566806</v>
      </c>
      <c r="D48" s="26">
        <f t="shared" si="20"/>
        <v>1056.3332726483986</v>
      </c>
      <c r="E48" s="26">
        <f t="shared" si="20"/>
        <v>1967.7541208167895</v>
      </c>
      <c r="F48" s="26">
        <f t="shared" ref="F48:F57" si="21">F6-D6</f>
        <v>3024.0873934651881</v>
      </c>
    </row>
    <row r="49" spans="1:6" x14ac:dyDescent="0.3">
      <c r="A49" t="str">
        <f t="shared" si="19"/>
        <v>RQF6 First degree</v>
      </c>
      <c r="B49" s="26">
        <f t="shared" ref="B49:E49" si="22">C7-B7</f>
        <v>523.39696621485382</v>
      </c>
      <c r="C49" s="26">
        <f t="shared" si="22"/>
        <v>284.00796176674885</v>
      </c>
      <c r="D49" s="26">
        <f t="shared" si="22"/>
        <v>394.56796535519061</v>
      </c>
      <c r="E49" s="26">
        <f t="shared" si="22"/>
        <v>813.66093339178133</v>
      </c>
      <c r="F49" s="26">
        <f t="shared" si="21"/>
        <v>1208.2288987469719</v>
      </c>
    </row>
    <row r="50" spans="1:6" x14ac:dyDescent="0.3">
      <c r="A50" t="str">
        <f t="shared" si="19"/>
        <v>RQF5 Foundation degree;Nursing;Teaching</v>
      </c>
      <c r="B50" s="26">
        <f t="shared" ref="B50:E50" si="23">C8-B8</f>
        <v>-0.26041069973985032</v>
      </c>
      <c r="C50" s="26">
        <f t="shared" si="23"/>
        <v>71.440061330819844</v>
      </c>
      <c r="D50" s="26">
        <f t="shared" si="23"/>
        <v>-2.4134744136711106</v>
      </c>
      <c r="E50" s="26">
        <f t="shared" si="23"/>
        <v>165.32484997219603</v>
      </c>
      <c r="F50" s="26">
        <f t="shared" si="21"/>
        <v>162.91137555852492</v>
      </c>
    </row>
    <row r="51" spans="1:6" x14ac:dyDescent="0.3">
      <c r="A51" t="str">
        <f t="shared" si="19"/>
        <v>RQF4 HE below degree level</v>
      </c>
      <c r="B51" s="26">
        <f t="shared" ref="B51:E51" si="24">C9-B9</f>
        <v>103.89385143021082</v>
      </c>
      <c r="C51" s="26">
        <f t="shared" si="24"/>
        <v>85.767746412263705</v>
      </c>
      <c r="D51" s="26">
        <f t="shared" si="24"/>
        <v>72.494100565070767</v>
      </c>
      <c r="E51" s="26">
        <f t="shared" si="24"/>
        <v>239.46827972887445</v>
      </c>
      <c r="F51" s="26">
        <f t="shared" si="21"/>
        <v>311.96238029394522</v>
      </c>
    </row>
    <row r="52" spans="1:6" x14ac:dyDescent="0.3">
      <c r="A52" t="str">
        <f t="shared" si="19"/>
        <v>RQF3 A level &amp; equivalent</v>
      </c>
      <c r="B52" s="26">
        <f t="shared" ref="B52:E52" si="25">C10-B10</f>
        <v>193.58807751513632</v>
      </c>
      <c r="C52" s="26">
        <f t="shared" si="25"/>
        <v>9.9451963422543486</v>
      </c>
      <c r="D52" s="26">
        <f t="shared" si="25"/>
        <v>-30.863822094418538</v>
      </c>
      <c r="E52" s="26">
        <f t="shared" si="25"/>
        <v>8.9453494890722141</v>
      </c>
      <c r="F52" s="26">
        <f t="shared" si="21"/>
        <v>-21.918472605346324</v>
      </c>
    </row>
    <row r="53" spans="1:6" x14ac:dyDescent="0.3">
      <c r="A53" t="str">
        <f t="shared" si="19"/>
        <v>RQF2 GCSE(A-C) &amp; equivalent</v>
      </c>
      <c r="B53" s="26">
        <f t="shared" ref="B53:E53" si="26">C11-B11</f>
        <v>48.503951427142056</v>
      </c>
      <c r="C53" s="26">
        <f>D11-C11</f>
        <v>-428.60154572321608</v>
      </c>
      <c r="D53" s="26">
        <f t="shared" si="26"/>
        <v>-195.71538847548709</v>
      </c>
      <c r="E53" s="26">
        <f t="shared" si="26"/>
        <v>-861.90378466283619</v>
      </c>
      <c r="F53" s="26">
        <f t="shared" si="21"/>
        <v>-1057.6191731383233</v>
      </c>
    </row>
    <row r="54" spans="1:6" x14ac:dyDescent="0.3">
      <c r="A54" t="str">
        <f t="shared" si="19"/>
        <v>RQF1 GCSE(below grade C) &amp; equivalent</v>
      </c>
      <c r="B54" s="26">
        <f t="shared" ref="B54:E54" si="27">C12-B12</f>
        <v>-122.85355092086411</v>
      </c>
      <c r="C54" s="26">
        <f t="shared" si="27"/>
        <v>-358.16663555015111</v>
      </c>
      <c r="D54" s="26">
        <f t="shared" si="27"/>
        <v>-344.10364690790902</v>
      </c>
      <c r="E54" s="26">
        <f t="shared" si="27"/>
        <v>-1039.5260186446967</v>
      </c>
      <c r="F54" s="26">
        <f t="shared" si="21"/>
        <v>-1383.6296655526057</v>
      </c>
    </row>
    <row r="55" spans="1:6" x14ac:dyDescent="0.3">
      <c r="A55" t="str">
        <f t="shared" si="19"/>
        <v>No Qualification</v>
      </c>
      <c r="B55" s="26">
        <f t="shared" ref="B55:E55" si="28">C13-B13</f>
        <v>-152.12292831037826</v>
      </c>
      <c r="C55" s="26">
        <f t="shared" si="28"/>
        <v>-195.13253955474988</v>
      </c>
      <c r="D55" s="26">
        <f t="shared" si="28"/>
        <v>-202.43854809164236</v>
      </c>
      <c r="E55" s="26">
        <f t="shared" si="28"/>
        <v>-242.82194450127167</v>
      </c>
      <c r="F55" s="26">
        <f t="shared" si="21"/>
        <v>-445.26049259291403</v>
      </c>
    </row>
    <row r="56" spans="1:6" x14ac:dyDescent="0.3">
      <c r="B56" s="20"/>
      <c r="C56" s="26"/>
      <c r="D56" s="20"/>
      <c r="E56" s="20"/>
      <c r="F56" s="26"/>
    </row>
    <row r="57" spans="1:6" x14ac:dyDescent="0.3">
      <c r="A57" s="23" t="str">
        <f>$A43</f>
        <v>All qualifications</v>
      </c>
      <c r="B57" s="28">
        <f>C15-B15</f>
        <v>1556.5879999960598</v>
      </c>
      <c r="C57" s="28">
        <f t="shared" ref="C57" si="29">D15-C15</f>
        <v>-353.07899999888832</v>
      </c>
      <c r="D57" s="28">
        <f>E15-D15</f>
        <v>895.06700001507124</v>
      </c>
      <c r="E57" s="28">
        <f>F15-E15</f>
        <v>1315.3429999888394</v>
      </c>
      <c r="F57" s="28">
        <f t="shared" si="21"/>
        <v>2210.4100000039107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45" x14ac:dyDescent="0.3"/>
  <cols>
    <col min="1" max="1" width="17" style="80" customWidth="1"/>
    <col min="2" max="8" width="9.15234375" style="80"/>
    <col min="9" max="9" width="31.84375" style="80" customWidth="1"/>
    <col min="10" max="10" width="11.3046875" style="80" customWidth="1"/>
    <col min="11" max="11" width="6.15234375" style="80" customWidth="1"/>
    <col min="12" max="12" width="27.15234375" customWidth="1"/>
    <col min="13" max="32" width="6.3828125" bestFit="1" customWidth="1"/>
    <col min="33" max="33" width="6" bestFit="1" customWidth="1"/>
    <col min="34" max="37" width="6.3828125" customWidth="1"/>
    <col min="38" max="38" width="7.15234375" customWidth="1"/>
    <col min="39" max="68" width="6.3046875" customWidth="1"/>
  </cols>
  <sheetData>
    <row r="1" spans="1:68" ht="15.45" x14ac:dyDescent="0.4">
      <c r="A1" s="79" t="str">
        <f>CONCATENATE("Qualification Figure 1  Employment by Qualification, ",$M$2,"-",$O$2,", ",Info!B5)</f>
        <v>Qualification Figure 1  Employment by Qualification, 2010-2035, England</v>
      </c>
      <c r="H1"/>
      <c r="L1" s="45"/>
    </row>
    <row r="2" spans="1:68" x14ac:dyDescent="0.3">
      <c r="A2" s="1" t="s">
        <v>537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3">
      <c r="L3" s="15"/>
      <c r="M3" s="15"/>
      <c r="N3" s="46"/>
      <c r="O3" s="15"/>
    </row>
    <row r="4" spans="1:68" x14ac:dyDescent="0.3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3">
      <c r="L6" s="232" t="str">
        <f>name!F12</f>
        <v>No Qualification</v>
      </c>
      <c r="M6" s="11">
        <v>1702.0331109149663</v>
      </c>
      <c r="N6" s="11">
        <v>1655.5781152901332</v>
      </c>
      <c r="O6" s="11">
        <v>1572.8390264205864</v>
      </c>
      <c r="P6" s="11">
        <v>1556.8165204729594</v>
      </c>
      <c r="Q6" s="11">
        <v>1439.3135271229035</v>
      </c>
      <c r="R6" s="11">
        <v>1486.5551957958019</v>
      </c>
      <c r="S6" s="11">
        <v>1355.6873898979416</v>
      </c>
      <c r="T6" s="11">
        <v>1371.1009609128334</v>
      </c>
      <c r="U6" s="11">
        <v>1340.7294376486875</v>
      </c>
      <c r="V6" s="11">
        <v>1334.4322674854236</v>
      </c>
      <c r="W6" s="11">
        <v>1139.2997279306737</v>
      </c>
      <c r="X6" s="11">
        <v>1159.940914786182</v>
      </c>
      <c r="Y6" s="11">
        <v>1078.4626013053316</v>
      </c>
      <c r="Z6" s="11">
        <v>1022.6650086375155</v>
      </c>
      <c r="AA6" s="11">
        <v>967.39642283325838</v>
      </c>
      <c r="AB6" s="11">
        <v>936.86117983903137</v>
      </c>
      <c r="AC6" s="11">
        <v>909.26112734754895</v>
      </c>
      <c r="AD6" s="11">
        <v>881.45097909602498</v>
      </c>
      <c r="AE6" s="11">
        <v>853.82044513722599</v>
      </c>
      <c r="AF6" s="11">
        <v>826.34056328390511</v>
      </c>
      <c r="AG6" s="11">
        <v>799.30152857702967</v>
      </c>
      <c r="AH6" s="11">
        <v>772.32006327136276</v>
      </c>
      <c r="AI6" s="11">
        <v>745.45861033488347</v>
      </c>
      <c r="AJ6" s="11">
        <v>718.7289705344682</v>
      </c>
      <c r="AK6" s="11">
        <v>693.76905385966279</v>
      </c>
      <c r="AL6" s="11">
        <v>694.03923533775969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3">
      <c r="L7" s="232" t="str">
        <f>name!F11</f>
        <v>RQF1 GCSE(below grade C) &amp; equivalent</v>
      </c>
      <c r="M7" s="11">
        <v>4299.4224123435488</v>
      </c>
      <c r="N7" s="11">
        <v>4121.354747411162</v>
      </c>
      <c r="O7" s="11">
        <v>3938.2864331166538</v>
      </c>
      <c r="P7" s="11">
        <v>3844.951377182615</v>
      </c>
      <c r="Q7" s="11">
        <v>3965.1700118986337</v>
      </c>
      <c r="R7" s="11">
        <v>3914.3609839876071</v>
      </c>
      <c r="S7" s="11">
        <v>3874.7574018367695</v>
      </c>
      <c r="T7" s="11">
        <v>3820.9234838812959</v>
      </c>
      <c r="U7" s="11">
        <v>3863.9134791191514</v>
      </c>
      <c r="V7" s="11">
        <v>3791.507433066743</v>
      </c>
      <c r="W7" s="11">
        <v>3433.3407975165919</v>
      </c>
      <c r="X7" s="11">
        <v>3365.8472383144931</v>
      </c>
      <c r="Y7" s="11">
        <v>3354.1186519829698</v>
      </c>
      <c r="Z7" s="11">
        <v>3269.2645943546672</v>
      </c>
      <c r="AA7" s="11">
        <v>3184.9429452749014</v>
      </c>
      <c r="AB7" s="11">
        <v>3089.2371506086829</v>
      </c>
      <c r="AC7" s="11">
        <v>2990.0774183303392</v>
      </c>
      <c r="AD7" s="11">
        <v>2888.7883257422486</v>
      </c>
      <c r="AE7" s="11">
        <v>2786.6746158691676</v>
      </c>
      <c r="AF7" s="11">
        <v>2683.6784936009058</v>
      </c>
      <c r="AG7" s="11">
        <v>2580.8115017705295</v>
      </c>
      <c r="AH7" s="11">
        <v>2476.8479739880172</v>
      </c>
      <c r="AI7" s="11">
        <v>2372.0500521952335</v>
      </c>
      <c r="AJ7" s="11">
        <v>2266.4680939351706</v>
      </c>
      <c r="AK7" s="11">
        <v>2159.7412763725101</v>
      </c>
      <c r="AL7" s="11">
        <v>2049.7111319639862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3">
      <c r="L8" s="232" t="str">
        <f>name!F10</f>
        <v>RQF2 GCSE(A-C) &amp; equivalent</v>
      </c>
      <c r="M8" s="11">
        <v>5614.7737073058624</v>
      </c>
      <c r="N8" s="11">
        <v>5731.6055328011407</v>
      </c>
      <c r="O8" s="11">
        <v>5672.1253127801592</v>
      </c>
      <c r="P8" s="11">
        <v>5606.6765525968558</v>
      </c>
      <c r="Q8" s="11">
        <v>5717.9252290811482</v>
      </c>
      <c r="R8" s="11">
        <v>5710.2594647863762</v>
      </c>
      <c r="S8" s="11">
        <v>5754.3399614225873</v>
      </c>
      <c r="T8" s="11">
        <v>5778.0327195727277</v>
      </c>
      <c r="U8" s="11">
        <v>5761.0058164643779</v>
      </c>
      <c r="V8" s="11">
        <v>5758.7634162135182</v>
      </c>
      <c r="W8" s="11">
        <v>5330.1618704903021</v>
      </c>
      <c r="X8" s="11">
        <v>5375.3338954880091</v>
      </c>
      <c r="Y8" s="11">
        <v>5335.0517235469315</v>
      </c>
      <c r="Z8" s="11">
        <v>5272.0320413267036</v>
      </c>
      <c r="AA8" s="11">
        <v>5211.9846646057995</v>
      </c>
      <c r="AB8" s="11">
        <v>5134.446482014815</v>
      </c>
      <c r="AC8" s="11">
        <v>5051.9991499688485</v>
      </c>
      <c r="AD8" s="11">
        <v>4966.9775925418044</v>
      </c>
      <c r="AE8" s="11">
        <v>4881.4527445950616</v>
      </c>
      <c r="AF8" s="11">
        <v>4795.3688622122881</v>
      </c>
      <c r="AG8" s="11">
        <v>4710.4932247566921</v>
      </c>
      <c r="AH8" s="11">
        <v>4624.7283846020027</v>
      </c>
      <c r="AI8" s="11">
        <v>4538.5326177393808</v>
      </c>
      <c r="AJ8" s="11">
        <v>4452.0670878190349</v>
      </c>
      <c r="AK8" s="11">
        <v>4364.6689797749386</v>
      </c>
      <c r="AL8" s="11">
        <v>4272.5426973519789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3">
      <c r="L9" s="232" t="str">
        <f>name!F9</f>
        <v>RQF3 A level &amp; equivalent</v>
      </c>
      <c r="M9" s="11">
        <v>5176.5478075817155</v>
      </c>
      <c r="N9" s="11">
        <v>5146.2491521045476</v>
      </c>
      <c r="O9" s="11">
        <v>5396.4145960233054</v>
      </c>
      <c r="P9" s="11">
        <v>5316.2153223493933</v>
      </c>
      <c r="Q9" s="11">
        <v>5610.6935129540561</v>
      </c>
      <c r="R9" s="11">
        <v>5639.2616360428665</v>
      </c>
      <c r="S9" s="11">
        <v>5755.4462883345395</v>
      </c>
      <c r="T9" s="11">
        <v>5808.9951878718448</v>
      </c>
      <c r="U9" s="11">
        <v>5785.3725328638056</v>
      </c>
      <c r="V9" s="11">
        <v>5832.8497135580028</v>
      </c>
      <c r="W9" s="11">
        <v>5842.7949099002572</v>
      </c>
      <c r="X9" s="11">
        <v>5646.1692468640476</v>
      </c>
      <c r="Y9" s="11">
        <v>5765.1396618723247</v>
      </c>
      <c r="Z9" s="11">
        <v>5783.6635203498745</v>
      </c>
      <c r="AA9" s="11">
        <v>5806.8852209797678</v>
      </c>
      <c r="AB9" s="11">
        <v>5811.9310878058386</v>
      </c>
      <c r="AC9" s="11">
        <v>5812.4635161771675</v>
      </c>
      <c r="AD9" s="11">
        <v>5811.0199975542364</v>
      </c>
      <c r="AE9" s="11">
        <v>5809.9381751000137</v>
      </c>
      <c r="AF9" s="11">
        <v>5809.1851470508882</v>
      </c>
      <c r="AG9" s="11">
        <v>5810.9477863704697</v>
      </c>
      <c r="AH9" s="11">
        <v>5812.7535122204827</v>
      </c>
      <c r="AI9" s="11">
        <v>5815.1880767681723</v>
      </c>
      <c r="AJ9" s="11">
        <v>5818.5118039144827</v>
      </c>
      <c r="AK9" s="11">
        <v>5821.946435730114</v>
      </c>
      <c r="AL9" s="11">
        <v>5820.8764372949108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3">
      <c r="L10" s="232" t="str">
        <f>name!F8</f>
        <v>RQF4 HE below degree level</v>
      </c>
      <c r="M10" s="11">
        <v>1337.7813742381975</v>
      </c>
      <c r="N10" s="11">
        <v>1366.2096281080082</v>
      </c>
      <c r="O10" s="11">
        <v>1450.2489275019566</v>
      </c>
      <c r="P10" s="11">
        <v>1483.3850866338123</v>
      </c>
      <c r="Q10" s="11">
        <v>1544.1819476824976</v>
      </c>
      <c r="R10" s="11">
        <v>1538.7570902922546</v>
      </c>
      <c r="S10" s="11">
        <v>1574.9342076581552</v>
      </c>
      <c r="T10" s="11">
        <v>1593.907448676747</v>
      </c>
      <c r="U10" s="11">
        <v>1586.6920738276017</v>
      </c>
      <c r="V10" s="11">
        <v>1642.6509417224654</v>
      </c>
      <c r="W10" s="11">
        <v>1728.4186881347291</v>
      </c>
      <c r="X10" s="11">
        <v>1761.4601875525088</v>
      </c>
      <c r="Y10" s="11">
        <v>1723.0063356419273</v>
      </c>
      <c r="Z10" s="11">
        <v>1750.3028105020571</v>
      </c>
      <c r="AA10" s="11">
        <v>1778.6757665381106</v>
      </c>
      <c r="AB10" s="11">
        <v>1800.9127886997999</v>
      </c>
      <c r="AC10" s="11">
        <v>1822.7315350810209</v>
      </c>
      <c r="AD10" s="11">
        <v>1844.6631502859238</v>
      </c>
      <c r="AE10" s="11">
        <v>1866.9747464128288</v>
      </c>
      <c r="AF10" s="11">
        <v>1889.5902207914251</v>
      </c>
      <c r="AG10" s="11">
        <v>1913.7645217196425</v>
      </c>
      <c r="AH10">
        <v>1938.2052565815263</v>
      </c>
      <c r="AI10">
        <v>1963.1901590543273</v>
      </c>
      <c r="AJ10">
        <v>1989.2024689013758</v>
      </c>
      <c r="AK10">
        <v>2015.9514292988713</v>
      </c>
      <c r="AL10" s="11">
        <v>2040.3810684286743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3">
      <c r="L11" s="232" t="str">
        <f>name!F7</f>
        <v>RQF5 Foundation degree;Nursing;Teaching</v>
      </c>
      <c r="M11" s="11">
        <v>1586.7825100113255</v>
      </c>
      <c r="N11" s="11">
        <v>1581.1973123132025</v>
      </c>
      <c r="O11" s="11">
        <v>1626.861834502907</v>
      </c>
      <c r="P11" s="11">
        <v>1652.4536883945132</v>
      </c>
      <c r="Q11" s="11">
        <v>1673.3476881371769</v>
      </c>
      <c r="R11" s="11">
        <v>1634.7622700058328</v>
      </c>
      <c r="S11" s="11">
        <v>1633.8100155683696</v>
      </c>
      <c r="T11" s="11">
        <v>1637.2711289112337</v>
      </c>
      <c r="U11" s="11">
        <v>1612.1871333606873</v>
      </c>
      <c r="V11" s="11">
        <v>1634.5018593060929</v>
      </c>
      <c r="W11" s="11">
        <v>1705.9419206369128</v>
      </c>
      <c r="X11" s="11">
        <v>1705.0189991764234</v>
      </c>
      <c r="Y11" s="11">
        <v>1661.8858284749308</v>
      </c>
      <c r="Z11" s="11">
        <v>1675.591380287105</v>
      </c>
      <c r="AA11" s="11">
        <v>1692.2014623085624</v>
      </c>
      <c r="AB11" s="11">
        <v>1703.5284462232416</v>
      </c>
      <c r="AC11" s="11">
        <v>1714.601997366829</v>
      </c>
      <c r="AD11" s="11">
        <v>1726.3726077109382</v>
      </c>
      <c r="AE11" s="11">
        <v>1740.0480492945376</v>
      </c>
      <c r="AF11" s="11">
        <v>1755.5060648087926</v>
      </c>
      <c r="AG11" s="11">
        <v>1772.3025155954597</v>
      </c>
      <c r="AH11">
        <v>1790.1743506150431</v>
      </c>
      <c r="AI11">
        <v>1809.2612153465659</v>
      </c>
      <c r="AJ11">
        <v>1829.0603460110044</v>
      </c>
      <c r="AK11">
        <v>1849.0379658990123</v>
      </c>
      <c r="AL11" s="11">
        <v>1868.8532961954377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3">
      <c r="L12" s="232" t="str">
        <f>name!F6</f>
        <v>RQF6 First degree</v>
      </c>
      <c r="M12" s="11">
        <v>4372.5617107630305</v>
      </c>
      <c r="N12" s="11">
        <v>4612.6261793400463</v>
      </c>
      <c r="O12" s="11">
        <v>4984.1203975720491</v>
      </c>
      <c r="P12" s="11">
        <v>5230.1180480360144</v>
      </c>
      <c r="Q12" s="11">
        <v>5552.1107814229317</v>
      </c>
      <c r="R12" s="11">
        <v>5584.3807768145707</v>
      </c>
      <c r="S12" s="11">
        <v>5669.8041895566921</v>
      </c>
      <c r="T12" s="11">
        <v>5828.2145674073563</v>
      </c>
      <c r="U12" s="11">
        <v>5885.8422607909206</v>
      </c>
      <c r="V12" s="11">
        <v>6107.7777430294245</v>
      </c>
      <c r="W12" s="11">
        <v>6391.7857047961734</v>
      </c>
      <c r="X12" s="11">
        <v>6563.448344263631</v>
      </c>
      <c r="Y12" s="11">
        <v>6466.2709693221213</v>
      </c>
      <c r="Z12" s="11">
        <v>6577.8073294987807</v>
      </c>
      <c r="AA12" s="11">
        <v>6692.5726063835664</v>
      </c>
      <c r="AB12" s="11">
        <v>6786.353670151364</v>
      </c>
      <c r="AC12" s="11">
        <v>6872.8506414818912</v>
      </c>
      <c r="AD12" s="11">
        <v>6955.2911961405216</v>
      </c>
      <c r="AE12" s="11">
        <v>7036.1565562817741</v>
      </c>
      <c r="AF12" s="11">
        <v>7115.8017552581314</v>
      </c>
      <c r="AG12" s="11">
        <v>7197.4751492322748</v>
      </c>
      <c r="AH12">
        <v>7278.4243693172157</v>
      </c>
      <c r="AI12">
        <v>7359.3685115161625</v>
      </c>
      <c r="AJ12">
        <v>7440.8739668848284</v>
      </c>
      <c r="AK12">
        <v>7522.5028208970998</v>
      </c>
      <c r="AL12">
        <v>7600.0146035431453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3">
      <c r="L13" s="232" t="str">
        <f>name!F5</f>
        <v>RQF7 Other higher degree</v>
      </c>
      <c r="M13" s="11">
        <v>2083.335400291694</v>
      </c>
      <c r="N13" s="11">
        <v>1994.7773838239891</v>
      </c>
      <c r="O13" s="11">
        <v>2069.1596124927764</v>
      </c>
      <c r="P13" s="11">
        <v>2165.9854077016334</v>
      </c>
      <c r="Q13" s="11">
        <v>2381.9020884923284</v>
      </c>
      <c r="R13" s="11">
        <v>2754.1142531476803</v>
      </c>
      <c r="S13" s="11">
        <v>3201.4171963419099</v>
      </c>
      <c r="T13" s="11">
        <v>3261.3467888964301</v>
      </c>
      <c r="U13" s="11">
        <v>3380.9957730962628</v>
      </c>
      <c r="V13" s="11">
        <v>3602.5037901916585</v>
      </c>
      <c r="W13" s="11">
        <v>3765.2895086273265</v>
      </c>
      <c r="X13" s="11">
        <v>3880.0005402173656</v>
      </c>
      <c r="Y13" s="11">
        <v>4181.6766493904233</v>
      </c>
      <c r="Z13" s="11">
        <v>4397.6890846726328</v>
      </c>
      <c r="AA13" s="11">
        <v>4616.944697078372</v>
      </c>
      <c r="AB13" s="11">
        <v>4821.6227812757252</v>
      </c>
      <c r="AC13" s="11">
        <v>5022.2768915977913</v>
      </c>
      <c r="AD13" s="11">
        <v>5220.6271853848611</v>
      </c>
      <c r="AE13" s="11">
        <v>5418.3495787903457</v>
      </c>
      <c r="AF13" s="11">
        <v>5615.4680935448378</v>
      </c>
      <c r="AG13" s="11">
        <v>5813.9077874228396</v>
      </c>
      <c r="AH13">
        <v>6011.3093211772211</v>
      </c>
      <c r="AI13">
        <v>6208.1153104588675</v>
      </c>
      <c r="AJ13">
        <v>6404.494139971358</v>
      </c>
      <c r="AK13">
        <v>6599.4358730895319</v>
      </c>
      <c r="AL13">
        <v>6789.3769020925147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3">
      <c r="L14" s="232" t="str">
        <f>name!F4</f>
        <v>RQF8 Doctorate</v>
      </c>
      <c r="M14" s="11">
        <v>298.02296654885242</v>
      </c>
      <c r="N14" s="11">
        <v>286.00094880658258</v>
      </c>
      <c r="O14" s="11">
        <v>294.38285958991185</v>
      </c>
      <c r="P14" s="11">
        <v>310.52899663042621</v>
      </c>
      <c r="Q14" s="11">
        <v>342.72621320522273</v>
      </c>
      <c r="R14" s="11">
        <v>393.72032912482803</v>
      </c>
      <c r="S14" s="11">
        <v>451.19334937865506</v>
      </c>
      <c r="T14" s="11">
        <v>460.59471386481113</v>
      </c>
      <c r="U14" s="11">
        <v>477.28649282427062</v>
      </c>
      <c r="V14" s="11">
        <v>507.77283542055346</v>
      </c>
      <c r="W14" s="11">
        <v>522.64787196202724</v>
      </c>
      <c r="X14" s="11">
        <v>543.89963333412709</v>
      </c>
      <c r="Y14" s="11">
        <v>583.55857846366393</v>
      </c>
      <c r="Z14" s="11">
        <v>612.62423037049075</v>
      </c>
      <c r="AA14" s="11">
        <v>642.19821399752482</v>
      </c>
      <c r="AB14" s="11">
        <v>669.85441339156375</v>
      </c>
      <c r="AC14" s="11">
        <v>696.92472265863819</v>
      </c>
      <c r="AD14" s="11">
        <v>723.72296555397668</v>
      </c>
      <c r="AE14" s="11">
        <v>750.40508852815412</v>
      </c>
      <c r="AF14" s="11">
        <v>776.8847994602072</v>
      </c>
      <c r="AG14" s="11">
        <v>803.52198456787437</v>
      </c>
      <c r="AH14">
        <v>829.98576823715348</v>
      </c>
      <c r="AI14">
        <v>856.36344659826341</v>
      </c>
      <c r="AJ14">
        <v>882.56812204135997</v>
      </c>
      <c r="AK14">
        <v>908.74316508922925</v>
      </c>
      <c r="AL14">
        <v>934.29562779049672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3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3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3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3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3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3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3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3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3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3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3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3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3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3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3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3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3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3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3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3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3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3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3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3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3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3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3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3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3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4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45" x14ac:dyDescent="0.4">
      <c r="A51" s="79" t="str">
        <f>CONCATENATE("Qualification Figure 1.1  Employment by Qualification, ",$M$2,"-",$O$2," ",Info!B5)</f>
        <v>Qualification Figure 1.1  Employment by Qualification, 2010-2035 England</v>
      </c>
    </row>
    <row r="52" spans="1:1" x14ac:dyDescent="0.3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5234375" defaultRowHeight="12.45" x14ac:dyDescent="0.3"/>
  <cols>
    <col min="1" max="1" width="57.84375" style="90" customWidth="1"/>
    <col min="2" max="6" width="11.69140625" style="90" customWidth="1"/>
    <col min="7" max="7" width="5.69140625" style="90" customWidth="1"/>
    <col min="8" max="12" width="11.69140625" style="90" customWidth="1"/>
    <col min="13" max="16384" width="9.15234375" style="90"/>
  </cols>
  <sheetData>
    <row r="1" spans="1:12" ht="15.45" x14ac:dyDescent="0.4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3">
      <c r="F3" s="116"/>
      <c r="L3" s="116" t="s">
        <v>19</v>
      </c>
    </row>
    <row r="4" spans="1:12" x14ac:dyDescent="0.3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3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ht="12.9" x14ac:dyDescent="0.35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3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3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3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3">
      <c r="H11" s="93"/>
      <c r="I11" s="93"/>
      <c r="J11" s="93"/>
      <c r="K11" s="93"/>
      <c r="L11" s="93"/>
    </row>
    <row r="12" spans="1:12" s="121" customFormat="1" ht="12.9" x14ac:dyDescent="0.35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3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3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3">
      <c r="H15" s="93"/>
      <c r="I15" s="93"/>
      <c r="J15" s="93"/>
      <c r="K15" s="93"/>
      <c r="L15" s="93"/>
    </row>
    <row r="16" spans="1:12" s="121" customFormat="1" ht="12.9" x14ac:dyDescent="0.35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3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3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3">
      <c r="H19" s="93"/>
      <c r="I19" s="93"/>
      <c r="J19" s="93"/>
      <c r="K19" s="93"/>
      <c r="L19" s="93"/>
    </row>
    <row r="20" spans="1:12" x14ac:dyDescent="0.3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3">
      <c r="A23" s="90" t="str">
        <f>CONCATENATE("Note: For ",Info!$A$1," there is no European LFS data for some of the ISCED Qualifications.")</f>
        <v>Note: For Country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5234375" defaultRowHeight="12.45" x14ac:dyDescent="0.3"/>
  <cols>
    <col min="1" max="1" width="50.69140625" style="129" customWidth="1"/>
    <col min="2" max="2" width="13" style="129" customWidth="1"/>
    <col min="3" max="3" width="10.15234375" style="129" customWidth="1"/>
    <col min="4" max="4" width="3.69140625" style="129" customWidth="1"/>
    <col min="5" max="6" width="10.15234375" style="129" customWidth="1"/>
    <col min="7" max="7" width="3.69140625" style="129" customWidth="1"/>
    <col min="8" max="9" width="10.15234375" style="129" customWidth="1"/>
    <col min="10" max="10" width="3.69140625" style="129" customWidth="1"/>
    <col min="11" max="12" width="10.15234375" style="129" customWidth="1"/>
    <col min="13" max="13" width="3.69140625" style="129" customWidth="1"/>
    <col min="14" max="15" width="10.15234375" style="129" customWidth="1"/>
    <col min="16" max="16" width="3.69140625" style="129" customWidth="1"/>
    <col min="17" max="18" width="10.15234375" style="129" customWidth="1"/>
    <col min="19" max="19" width="9.15234375" style="129"/>
    <col min="20" max="20" width="16.69140625" style="129" customWidth="1"/>
    <col min="21" max="21" width="9.15234375" style="129"/>
    <col min="22" max="22" width="8.84375" style="129" customWidth="1"/>
    <col min="23" max="41" width="9.15234375" style="129"/>
    <col min="42" max="46" width="9.15234375" style="136" customWidth="1"/>
    <col min="47" max="49" width="9.15234375" style="129"/>
    <col min="50" max="50" width="9.15234375" style="129" customWidth="1"/>
    <col min="51" max="16384" width="9.15234375" style="129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England</v>
      </c>
      <c r="W1" s="203" t="str">
        <f>CONCATENATE("Shift-share Figure 1: Levels of Employment, ",C4," - ",F40,", ",Info!B5)</f>
        <v>Shift-share Figure 1: Levels of Employment, 2015 - 2035, England</v>
      </c>
      <c r="AK1" s="203" t="str">
        <f>CONCATENATE("Shift-share Figure 1.1: Net Changes, ",C4,"-",F40,", ",Info!B5)</f>
        <v>Shift-share Figure 1.1: Net Changes, 2015-2035, England</v>
      </c>
    </row>
    <row r="2" spans="1:97" ht="18.75" customHeight="1" x14ac:dyDescent="0.4">
      <c r="A2" s="135" t="s">
        <v>535</v>
      </c>
      <c r="W2" s="203"/>
      <c r="AK2" s="203"/>
    </row>
    <row r="3" spans="1:97" x14ac:dyDescent="0.3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8" t="s">
        <v>53</v>
      </c>
      <c r="L3" s="378"/>
      <c r="M3" s="378"/>
      <c r="N3" s="378"/>
      <c r="O3" s="378"/>
      <c r="P3" s="378"/>
      <c r="Q3" s="378"/>
      <c r="R3" s="378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3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7" t="s">
        <v>56</v>
      </c>
      <c r="L4" s="377"/>
      <c r="M4" s="135"/>
      <c r="N4" s="377" t="s">
        <v>57</v>
      </c>
      <c r="O4" s="377"/>
      <c r="P4" s="135"/>
      <c r="Q4" s="377" t="s">
        <v>58</v>
      </c>
      <c r="R4" s="377"/>
      <c r="AW4" s="136"/>
      <c r="AX4" s="136"/>
      <c r="AY4" s="138"/>
    </row>
    <row r="5" spans="1:97" x14ac:dyDescent="0.3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3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3">
      <c r="A8" s="10" t="str">
        <f>name!$D4</f>
        <v>11 Corporate managers and directors</v>
      </c>
      <c r="B8" s="150">
        <v>1899.433639026867</v>
      </c>
      <c r="C8" s="140">
        <f t="shared" ref="C8:C33" si="0">B8/B$35*100</f>
        <v>6.6283578945122699</v>
      </c>
      <c r="E8" s="150">
        <v>2300.8631856488205</v>
      </c>
      <c r="F8" s="140">
        <f t="shared" ref="F8:F33" si="1">E8/E$35*100</f>
        <v>7.7055852862232612</v>
      </c>
      <c r="H8" s="150">
        <f>E8-B8</f>
        <v>401.42954662195348</v>
      </c>
      <c r="I8" s="140">
        <f>IF(B8&lt;&gt;0,((E8/B8)-1)*100,0)</f>
        <v>21.134170648236861</v>
      </c>
      <c r="K8" s="207">
        <f t="shared" ref="K8:K33" si="2">(($E$35/$B$35)-1)*B8</f>
        <v>79.772883812484608</v>
      </c>
      <c r="L8" s="140">
        <f>IF(B8&lt;&gt;0,K8/B8*100,0)</f>
        <v>4.1998247358278062</v>
      </c>
      <c r="N8" s="150">
        <f>H8-(K8+Q8)</f>
        <v>320.08209497285395</v>
      </c>
      <c r="O8" s="140">
        <f>IF(B8&lt;&gt;0,N8/B8*100,0)</f>
        <v>16.851449210767953</v>
      </c>
      <c r="Q8" s="150">
        <v>1.574567836614932</v>
      </c>
      <c r="R8" s="140">
        <f>IF(B8&lt;&gt;0,Q8/B8*100,0)</f>
        <v>8.2896701641107462E-2</v>
      </c>
      <c r="AT8" s="136" t="e">
        <f ca="1">CONCATENATE("C:",INT(CELL("col",#REF!))," R:",INT(CELL("row",#REF!)))</f>
        <v>#REF!</v>
      </c>
    </row>
    <row r="9" spans="1:97" x14ac:dyDescent="0.3">
      <c r="A9" s="10" t="str">
        <f>name!$D5</f>
        <v>12 Other managers and proprietors</v>
      </c>
      <c r="B9" s="150">
        <v>923.52132759385643</v>
      </c>
      <c r="C9" s="140">
        <f t="shared" si="0"/>
        <v>3.2227658585868633</v>
      </c>
      <c r="E9" s="150">
        <v>997.09987935375352</v>
      </c>
      <c r="F9" s="140">
        <f t="shared" si="1"/>
        <v>3.3392851027240349</v>
      </c>
      <c r="H9" s="150">
        <f t="shared" ref="H9:H32" si="3">E9-B9</f>
        <v>73.578551759897096</v>
      </c>
      <c r="I9" s="140">
        <f t="shared" ref="I9:I35" si="4">IF(B9&lt;&gt;0,((E9/B9)-1)*100,0)</f>
        <v>7.9671740718320727</v>
      </c>
      <c r="K9" s="207">
        <f t="shared" si="2"/>
        <v>38.78627715693213</v>
      </c>
      <c r="L9" s="140">
        <f t="shared" ref="L9:L32" si="5">IF(B9&lt;&gt;0,K9/B9*100,0)</f>
        <v>4.1998247358278062</v>
      </c>
      <c r="N9" s="150">
        <f t="shared" ref="N9:N31" si="6">H9-(K9+Q9)</f>
        <v>32.736814051026634</v>
      </c>
      <c r="O9" s="140">
        <f>IF(B9&lt;&gt;0,N9/B9*100,0)</f>
        <v>3.5447815954959232</v>
      </c>
      <c r="Q9" s="150">
        <v>2.0554605519383347</v>
      </c>
      <c r="R9" s="140">
        <f>IF(B9&lt;&gt;0,Q9/B9*100,0)</f>
        <v>0.22256774050834691</v>
      </c>
      <c r="T9" s="135"/>
    </row>
    <row r="10" spans="1:97" x14ac:dyDescent="0.3">
      <c r="A10" s="10" t="str">
        <f>name!$D6</f>
        <v>21 Science, research, engineering and technology professionals</v>
      </c>
      <c r="B10" s="150">
        <v>1585.0798970775465</v>
      </c>
      <c r="C10" s="140">
        <f t="shared" si="0"/>
        <v>5.5313734754162898</v>
      </c>
      <c r="E10" s="150">
        <v>1898.9978151049093</v>
      </c>
      <c r="F10" s="140">
        <f t="shared" si="1"/>
        <v>6.359739124825964</v>
      </c>
      <c r="H10" s="150">
        <f t="shared" si="3"/>
        <v>313.9179180273627</v>
      </c>
      <c r="I10" s="140">
        <f t="shared" si="4"/>
        <v>19.804548566046499</v>
      </c>
      <c r="K10" s="207">
        <f t="shared" si="2"/>
        <v>66.570577600096726</v>
      </c>
      <c r="L10" s="140">
        <f t="shared" si="5"/>
        <v>4.1998247358278054</v>
      </c>
      <c r="N10" s="150">
        <f t="shared" si="6"/>
        <v>229.0730639941242</v>
      </c>
      <c r="O10" s="140">
        <f t="shared" ref="O10:O32" si="7">IF(B10&lt;&gt;0,N10/B10*100,0)</f>
        <v>14.451830751022218</v>
      </c>
      <c r="Q10" s="150">
        <v>18.274276433141797</v>
      </c>
      <c r="R10" s="140">
        <f t="shared" ref="R10:R32" si="8">IF(B10&lt;&gt;0,Q10/B10*100,0)</f>
        <v>1.1528930791964846</v>
      </c>
      <c r="AT10" s="136" t="e">
        <f ca="1">CONCATENATE("C:",INT(CELL("col",#REF!))," R:",INT(CELL("row",#REF!)))</f>
        <v>#REF!</v>
      </c>
    </row>
    <row r="11" spans="1:97" x14ac:dyDescent="0.3">
      <c r="A11" s="10" t="str">
        <f>name!$D7</f>
        <v>22 Health professionals</v>
      </c>
      <c r="B11" s="150">
        <v>1169.4428202608062</v>
      </c>
      <c r="C11" s="140">
        <f t="shared" si="0"/>
        <v>4.0809457043351678</v>
      </c>
      <c r="E11" s="150">
        <v>1353.7379872555568</v>
      </c>
      <c r="F11" s="140">
        <f t="shared" si="1"/>
        <v>4.5336652700870506</v>
      </c>
      <c r="H11" s="150">
        <f>E11-B11</f>
        <v>184.29516699475062</v>
      </c>
      <c r="I11" s="140">
        <f>IF(B11&lt;&gt;0,((E11/B11)-1)*100,0)</f>
        <v>15.759228566100347</v>
      </c>
      <c r="K11" s="207">
        <f t="shared" si="2"/>
        <v>49.114548836675652</v>
      </c>
      <c r="L11" s="140">
        <f t="shared" si="5"/>
        <v>4.1998247358278062</v>
      </c>
      <c r="N11" s="150">
        <f t="shared" si="6"/>
        <v>123.83798566832131</v>
      </c>
      <c r="O11" s="140">
        <f t="shared" si="7"/>
        <v>10.589486165788188</v>
      </c>
      <c r="Q11" s="150">
        <v>11.342632489753656</v>
      </c>
      <c r="R11" s="140">
        <f>IF(B11&lt;&gt;0,Q11/B11*100,0)</f>
        <v>0.96991766448436112</v>
      </c>
      <c r="T11" s="135"/>
    </row>
    <row r="12" spans="1:97" x14ac:dyDescent="0.3">
      <c r="A12" s="10" t="str">
        <f>name!$D8</f>
        <v>23 Teaching and other educational professionals</v>
      </c>
      <c r="B12" s="150">
        <v>1361.749185159139</v>
      </c>
      <c r="C12" s="140">
        <f t="shared" si="0"/>
        <v>4.7520275393351383</v>
      </c>
      <c r="E12" s="150">
        <v>1500.5047473431287</v>
      </c>
      <c r="F12" s="140">
        <f t="shared" si="1"/>
        <v>5.0251867973518474</v>
      </c>
      <c r="H12" s="150">
        <f t="shared" si="3"/>
        <v>138.7555621839897</v>
      </c>
      <c r="I12" s="140">
        <f t="shared" si="4"/>
        <v>10.189509470334235</v>
      </c>
      <c r="K12" s="207">
        <f t="shared" si="2"/>
        <v>57.19107911824711</v>
      </c>
      <c r="L12" s="140">
        <f t="shared" si="5"/>
        <v>4.1998247358278062</v>
      </c>
      <c r="N12" s="150">
        <f t="shared" si="6"/>
        <v>126.03975803842356</v>
      </c>
      <c r="O12" s="140">
        <f t="shared" si="7"/>
        <v>9.2557248729834249</v>
      </c>
      <c r="Q12" s="150">
        <v>-44.475274972680971</v>
      </c>
      <c r="R12" s="140">
        <f t="shared" si="8"/>
        <v>-3.2660401384770008</v>
      </c>
      <c r="AT12" s="136" t="e">
        <f ca="1">CONCATENATE("C:",INT(CELL("col",#REF!))," R:",INT(CELL("row",#REF!)))</f>
        <v>#REF!</v>
      </c>
    </row>
    <row r="13" spans="1:97" x14ac:dyDescent="0.3">
      <c r="A13" s="10" t="str">
        <f>name!$D9</f>
        <v>24 Business, media and public service professionals</v>
      </c>
      <c r="B13" s="150">
        <v>1796.9718795456633</v>
      </c>
      <c r="C13" s="140">
        <f t="shared" si="0"/>
        <v>6.2708022535103529</v>
      </c>
      <c r="E13" s="150">
        <v>2289.6674970727631</v>
      </c>
      <c r="F13" s="140">
        <f t="shared" si="1"/>
        <v>7.6680909520538538</v>
      </c>
      <c r="H13" s="150">
        <f t="shared" si="3"/>
        <v>492.69561752709978</v>
      </c>
      <c r="I13" s="140">
        <f t="shared" si="4"/>
        <v>27.418103930021999</v>
      </c>
      <c r="K13" s="207">
        <f t="shared" si="2"/>
        <v>75.469669493028618</v>
      </c>
      <c r="L13" s="140">
        <f t="shared" si="5"/>
        <v>4.1998247358278062</v>
      </c>
      <c r="N13" s="150">
        <f>H13-(K13+Q13)</f>
        <v>409.78121732271853</v>
      </c>
      <c r="O13" s="140">
        <f>IF(B13&lt;&gt;0,N13/B13*100,0)</f>
        <v>22.803986082760815</v>
      </c>
      <c r="Q13" s="150">
        <v>7.4447307113526477</v>
      </c>
      <c r="R13" s="140">
        <f t="shared" si="8"/>
        <v>0.41429311143338166</v>
      </c>
      <c r="T13" s="135"/>
    </row>
    <row r="14" spans="1:97" x14ac:dyDescent="0.3">
      <c r="A14" s="10" t="str">
        <f>name!$D10</f>
        <v>31 Science, engineering and technology associate professionals</v>
      </c>
      <c r="B14" s="150">
        <v>463.28274271165401</v>
      </c>
      <c r="C14" s="140">
        <f t="shared" si="0"/>
        <v>1.6166944514141319</v>
      </c>
      <c r="E14" s="150">
        <v>591.71409062760927</v>
      </c>
      <c r="F14" s="140">
        <f t="shared" si="1"/>
        <v>1.9816490692841213</v>
      </c>
      <c r="H14" s="150">
        <f t="shared" si="3"/>
        <v>128.43134791595526</v>
      </c>
      <c r="I14" s="140">
        <f t="shared" si="4"/>
        <v>27.722022876187857</v>
      </c>
      <c r="K14" s="207">
        <f t="shared" si="2"/>
        <v>19.457063225225539</v>
      </c>
      <c r="L14" s="140">
        <f>IF(B14&lt;&gt;0,K14/B14*100,0)</f>
        <v>4.1998247358278062</v>
      </c>
      <c r="N14" s="150">
        <f t="shared" si="6"/>
        <v>105.07500971567832</v>
      </c>
      <c r="O14" s="140">
        <f t="shared" si="7"/>
        <v>22.680536102135093</v>
      </c>
      <c r="Q14" s="150">
        <v>3.8992749750513975</v>
      </c>
      <c r="R14" s="140">
        <f t="shared" si="8"/>
        <v>0.84166203822495855</v>
      </c>
      <c r="AT14" s="136" t="e">
        <f ca="1">CONCATENATE("C:",INT(CELL("col",#REF!))," R:",INT(CELL("row",#REF!)))</f>
        <v>#REF!</v>
      </c>
    </row>
    <row r="15" spans="1:97" x14ac:dyDescent="0.3">
      <c r="A15" s="10" t="str">
        <f>name!$D11</f>
        <v>32 Health and social care associate professionals</v>
      </c>
      <c r="B15" s="150">
        <v>493.00201988165986</v>
      </c>
      <c r="C15" s="140">
        <f t="shared" si="0"/>
        <v>1.7204043159766707</v>
      </c>
      <c r="E15" s="150">
        <v>568.76339753397008</v>
      </c>
      <c r="F15" s="140">
        <f t="shared" si="1"/>
        <v>1.904787253199606</v>
      </c>
      <c r="H15" s="150">
        <f t="shared" si="3"/>
        <v>75.761377652310216</v>
      </c>
      <c r="I15" s="140">
        <f t="shared" si="4"/>
        <v>15.367356440141155</v>
      </c>
      <c r="K15" s="207">
        <f t="shared" si="2"/>
        <v>20.705220779120669</v>
      </c>
      <c r="L15" s="140">
        <f t="shared" si="5"/>
        <v>4.1998247358278062</v>
      </c>
      <c r="N15" s="150">
        <f t="shared" si="6"/>
        <v>51.979822488509228</v>
      </c>
      <c r="O15" s="140">
        <f t="shared" si="7"/>
        <v>10.54353134313455</v>
      </c>
      <c r="Q15" s="150">
        <v>3.0763343846803197</v>
      </c>
      <c r="R15" s="140">
        <f t="shared" si="8"/>
        <v>0.62400036117879654</v>
      </c>
      <c r="T15" s="11"/>
    </row>
    <row r="16" spans="1:97" x14ac:dyDescent="0.3">
      <c r="A16" s="10" t="str">
        <f>name!$D12</f>
        <v>33 Protective service occupations</v>
      </c>
      <c r="B16" s="150">
        <v>294.53338224612929</v>
      </c>
      <c r="C16" s="140">
        <f t="shared" si="0"/>
        <v>1.0278183082030363</v>
      </c>
      <c r="E16" s="150">
        <v>321.69473826189443</v>
      </c>
      <c r="F16" s="140">
        <f t="shared" si="1"/>
        <v>1.0773549063097756</v>
      </c>
      <c r="H16" s="150">
        <f t="shared" si="3"/>
        <v>27.161356015765136</v>
      </c>
      <c r="I16" s="140">
        <f t="shared" si="4"/>
        <v>9.2218259976614583</v>
      </c>
      <c r="K16" s="207">
        <f t="shared" si="2"/>
        <v>12.369885842843201</v>
      </c>
      <c r="L16" s="140">
        <f t="shared" si="5"/>
        <v>4.1998247358278062</v>
      </c>
      <c r="N16" s="150">
        <f t="shared" si="6"/>
        <v>12.869369575721224</v>
      </c>
      <c r="O16" s="140">
        <f t="shared" si="7"/>
        <v>4.3694094970079922</v>
      </c>
      <c r="Q16" s="150">
        <v>1.9221005972007099</v>
      </c>
      <c r="R16" s="140">
        <f t="shared" si="8"/>
        <v>0.65259176482565573</v>
      </c>
      <c r="T16" s="11"/>
    </row>
    <row r="17" spans="1:20" x14ac:dyDescent="0.3">
      <c r="A17" s="10" t="str">
        <f>name!$D13</f>
        <v>34 Culture, media and sports occupations</v>
      </c>
      <c r="B17" s="150">
        <v>627.36985128235654</v>
      </c>
      <c r="C17" s="140">
        <f t="shared" si="0"/>
        <v>2.1893009690282614</v>
      </c>
      <c r="E17" s="150">
        <v>678.67489071769273</v>
      </c>
      <c r="F17" s="140">
        <f t="shared" si="1"/>
        <v>2.2728805800631475</v>
      </c>
      <c r="H17" s="150">
        <f t="shared" si="3"/>
        <v>51.305039435336198</v>
      </c>
      <c r="I17" s="140">
        <f t="shared" si="4"/>
        <v>8.1777980453583652</v>
      </c>
      <c r="K17" s="207">
        <f t="shared" si="2"/>
        <v>26.348434199282533</v>
      </c>
      <c r="L17" s="140">
        <f t="shared" si="5"/>
        <v>4.1998247358278062</v>
      </c>
      <c r="N17" s="150">
        <f t="shared" si="6"/>
        <v>30.539370793731564</v>
      </c>
      <c r="O17" s="140">
        <f t="shared" si="7"/>
        <v>4.8678416298310285</v>
      </c>
      <c r="Q17" s="150">
        <v>-5.5827655576779005</v>
      </c>
      <c r="R17" s="140">
        <f t="shared" si="8"/>
        <v>-0.88986832030047602</v>
      </c>
      <c r="T17" s="11"/>
    </row>
    <row r="18" spans="1:20" x14ac:dyDescent="0.3">
      <c r="A18" s="10" t="str">
        <f>name!$D14</f>
        <v>35 Business and public service associate professionals</v>
      </c>
      <c r="B18" s="150">
        <v>1794.8908672659011</v>
      </c>
      <c r="C18" s="140">
        <f t="shared" si="0"/>
        <v>6.2635402497794912</v>
      </c>
      <c r="E18" s="150">
        <v>1991.4785005112092</v>
      </c>
      <c r="F18" s="140">
        <f t="shared" si="1"/>
        <v>6.6694567182802116</v>
      </c>
      <c r="H18" s="150">
        <f t="shared" si="3"/>
        <v>196.5876332453081</v>
      </c>
      <c r="I18" s="140">
        <f t="shared" si="4"/>
        <v>10.95262318342305</v>
      </c>
      <c r="K18" s="207">
        <f t="shared" si="2"/>
        <v>75.382270624547544</v>
      </c>
      <c r="L18" s="140">
        <f t="shared" si="5"/>
        <v>4.1998247358278062</v>
      </c>
      <c r="N18" s="150">
        <f t="shared" si="6"/>
        <v>121.87116137999507</v>
      </c>
      <c r="O18" s="140">
        <f t="shared" si="7"/>
        <v>6.7898925557316723</v>
      </c>
      <c r="Q18" s="150">
        <v>-0.66579875923452569</v>
      </c>
      <c r="R18" s="140">
        <f t="shared" si="8"/>
        <v>-3.709410813643034E-2</v>
      </c>
      <c r="T18" s="11"/>
    </row>
    <row r="19" spans="1:20" x14ac:dyDescent="0.3">
      <c r="A19" s="10" t="str">
        <f>name!$D15</f>
        <v>41 Administrative occupations</v>
      </c>
      <c r="B19" s="150">
        <v>2509.3095493404007</v>
      </c>
      <c r="C19" s="140">
        <f t="shared" si="0"/>
        <v>8.7566111389218193</v>
      </c>
      <c r="E19" s="150">
        <v>2574.3940918239059</v>
      </c>
      <c r="F19" s="140">
        <f t="shared" si="1"/>
        <v>8.6216396344767841</v>
      </c>
      <c r="H19" s="150">
        <f t="shared" si="3"/>
        <v>65.084542483505174</v>
      </c>
      <c r="I19" s="140">
        <f t="shared" si="4"/>
        <v>2.593723141914217</v>
      </c>
      <c r="K19" s="207">
        <f t="shared" si="2"/>
        <v>105.3866031516874</v>
      </c>
      <c r="L19" s="140">
        <f t="shared" si="5"/>
        <v>4.1998247358278062</v>
      </c>
      <c r="N19" s="150">
        <f t="shared" si="6"/>
        <v>-41.120848681874122</v>
      </c>
      <c r="O19" s="140">
        <f t="shared" si="7"/>
        <v>-1.6387316061776112</v>
      </c>
      <c r="Q19" s="150">
        <v>0.81878801369190635</v>
      </c>
      <c r="R19" s="140">
        <f t="shared" si="8"/>
        <v>3.2630012264016357E-2</v>
      </c>
      <c r="T19" s="11"/>
    </row>
    <row r="20" spans="1:20" x14ac:dyDescent="0.3">
      <c r="A20" s="10" t="str">
        <f>name!$D16</f>
        <v>42 Secretarial and related occupations</v>
      </c>
      <c r="B20" s="150">
        <v>640.1842113063916</v>
      </c>
      <c r="C20" s="140">
        <f t="shared" si="0"/>
        <v>2.2340185957372163</v>
      </c>
      <c r="E20" s="150">
        <v>572.63624585098148</v>
      </c>
      <c r="F20" s="140">
        <f t="shared" si="1"/>
        <v>1.9177574129176953</v>
      </c>
      <c r="H20" s="150">
        <f t="shared" si="3"/>
        <v>-67.547965455410122</v>
      </c>
      <c r="I20" s="140">
        <f t="shared" si="4"/>
        <v>-10.551332610588505</v>
      </c>
      <c r="K20" s="207">
        <f t="shared" si="2"/>
        <v>26.886614861309987</v>
      </c>
      <c r="L20" s="140">
        <f t="shared" si="5"/>
        <v>4.1998247358278062</v>
      </c>
      <c r="N20" s="150">
        <f t="shared" si="6"/>
        <v>-96.505794793758184</v>
      </c>
      <c r="O20" s="140">
        <f t="shared" si="7"/>
        <v>-15.074691485568456</v>
      </c>
      <c r="Q20" s="150">
        <v>2.0712144770380734</v>
      </c>
      <c r="R20" s="140">
        <f t="shared" si="8"/>
        <v>0.32353413915214352</v>
      </c>
      <c r="T20" s="11"/>
    </row>
    <row r="21" spans="1:20" x14ac:dyDescent="0.3">
      <c r="A21" s="10" t="str">
        <f>name!$D17</f>
        <v>51 Skilled agricultural and related trades</v>
      </c>
      <c r="B21" s="150">
        <v>298.83864607965563</v>
      </c>
      <c r="C21" s="140">
        <f t="shared" si="0"/>
        <v>1.0428421705441984</v>
      </c>
      <c r="E21" s="150">
        <v>271.23814466195341</v>
      </c>
      <c r="F21" s="140">
        <f t="shared" si="1"/>
        <v>0.90837589544911246</v>
      </c>
      <c r="H21" s="150">
        <f t="shared" si="3"/>
        <v>-27.600501417702219</v>
      </c>
      <c r="I21" s="140">
        <f t="shared" si="4"/>
        <v>-9.2359210496306687</v>
      </c>
      <c r="K21" s="207">
        <f t="shared" si="2"/>
        <v>12.550699378266289</v>
      </c>
      <c r="L21" s="140">
        <f t="shared" si="5"/>
        <v>4.1998247358278062</v>
      </c>
      <c r="N21" s="150">
        <f t="shared" si="6"/>
        <v>-25.685501363234501</v>
      </c>
      <c r="O21" s="140">
        <f t="shared" si="7"/>
        <v>-8.5951069917469827</v>
      </c>
      <c r="Q21" s="150">
        <v>-14.465699432734008</v>
      </c>
      <c r="R21" s="140">
        <f t="shared" si="8"/>
        <v>-4.8406387937114959</v>
      </c>
      <c r="T21" s="11"/>
    </row>
    <row r="22" spans="1:20" x14ac:dyDescent="0.3">
      <c r="A22" s="10" t="str">
        <f>name!$D18</f>
        <v>52 Skilled metal, electrical and electronic trades</v>
      </c>
      <c r="B22" s="150">
        <v>1042.1574658136535</v>
      </c>
      <c r="C22" s="140">
        <f t="shared" si="0"/>
        <v>3.6367644143597917</v>
      </c>
      <c r="E22" s="150">
        <v>926.35566763503004</v>
      </c>
      <c r="F22" s="140">
        <f t="shared" si="1"/>
        <v>3.102362907477759</v>
      </c>
      <c r="H22" s="150">
        <f t="shared" si="3"/>
        <v>-115.80179817862347</v>
      </c>
      <c r="I22" s="140">
        <f t="shared" si="4"/>
        <v>-11.111737139282729</v>
      </c>
      <c r="K22" s="207">
        <f t="shared" si="2"/>
        <v>43.768787035518031</v>
      </c>
      <c r="L22" s="140">
        <f t="shared" si="5"/>
        <v>4.1998247358278062</v>
      </c>
      <c r="N22" s="150">
        <f t="shared" si="6"/>
        <v>-154.22745069246753</v>
      </c>
      <c r="O22" s="140">
        <f t="shared" si="7"/>
        <v>-14.798862528135906</v>
      </c>
      <c r="Q22" s="150">
        <v>-5.3431345216739805</v>
      </c>
      <c r="R22" s="140">
        <f t="shared" si="8"/>
        <v>-0.51269934697463249</v>
      </c>
      <c r="T22" s="11"/>
    </row>
    <row r="23" spans="1:20" x14ac:dyDescent="0.3">
      <c r="A23" s="10" t="str">
        <f>name!$D19</f>
        <v>53 Skilled construction and building trades</v>
      </c>
      <c r="B23" s="150">
        <v>918.22690874959676</v>
      </c>
      <c r="C23" s="140">
        <f t="shared" si="0"/>
        <v>3.2042901918290698</v>
      </c>
      <c r="E23" s="150">
        <v>767.57313691964396</v>
      </c>
      <c r="F23" s="140">
        <f t="shared" si="1"/>
        <v>2.5706005932205755</v>
      </c>
      <c r="H23" s="150">
        <f t="shared" si="3"/>
        <v>-150.6537718299528</v>
      </c>
      <c r="I23" s="140">
        <f t="shared" si="4"/>
        <v>-16.407030810620316</v>
      </c>
      <c r="K23" s="207">
        <f t="shared" si="2"/>
        <v>38.563920844692582</v>
      </c>
      <c r="L23" s="140">
        <f t="shared" si="5"/>
        <v>4.1998247358278062</v>
      </c>
      <c r="N23" s="150">
        <f t="shared" si="6"/>
        <v>-233.08560921332278</v>
      </c>
      <c r="O23" s="140">
        <f t="shared" si="7"/>
        <v>-25.384314812852637</v>
      </c>
      <c r="Q23" s="150">
        <v>43.867916538677392</v>
      </c>
      <c r="R23" s="140">
        <f t="shared" si="8"/>
        <v>4.7774592664045201</v>
      </c>
      <c r="T23" s="11"/>
    </row>
    <row r="24" spans="1:20" x14ac:dyDescent="0.3">
      <c r="A24" s="10" t="str">
        <f>name!$D20</f>
        <v>54 Textiles, printing and other skilled trades</v>
      </c>
      <c r="B24" s="150">
        <v>630.46793566083784</v>
      </c>
      <c r="C24" s="140">
        <f t="shared" si="0"/>
        <v>2.2001121980314986</v>
      </c>
      <c r="E24" s="150">
        <v>545.11129837873182</v>
      </c>
      <c r="F24" s="140">
        <f t="shared" si="1"/>
        <v>1.8255764298983048</v>
      </c>
      <c r="H24" s="150">
        <f t="shared" si="3"/>
        <v>-85.356637282106021</v>
      </c>
      <c r="I24" s="140">
        <f t="shared" si="4"/>
        <v>-13.538616708974693</v>
      </c>
      <c r="K24" s="207">
        <f t="shared" si="2"/>
        <v>26.478548313346806</v>
      </c>
      <c r="L24" s="140">
        <f t="shared" si="5"/>
        <v>4.1998247358278062</v>
      </c>
      <c r="N24" s="150">
        <f t="shared" si="6"/>
        <v>-113.75151501830194</v>
      </c>
      <c r="O24" s="140">
        <f t="shared" si="7"/>
        <v>-18.042394955275714</v>
      </c>
      <c r="Q24" s="150">
        <v>1.9163294228491177</v>
      </c>
      <c r="R24" s="140">
        <f t="shared" si="8"/>
        <v>0.30395351047321351</v>
      </c>
      <c r="T24" s="11"/>
    </row>
    <row r="25" spans="1:20" x14ac:dyDescent="0.3">
      <c r="A25" s="10" t="str">
        <f>name!$D21</f>
        <v>61 Caring personal service occupations</v>
      </c>
      <c r="B25" s="150">
        <v>2030.2468142039761</v>
      </c>
      <c r="C25" s="140">
        <f t="shared" si="0"/>
        <v>7.084850042790551</v>
      </c>
      <c r="E25" s="150">
        <v>2025.984443266439</v>
      </c>
      <c r="F25" s="140">
        <f t="shared" si="1"/>
        <v>6.7850170377465711</v>
      </c>
      <c r="H25" s="150">
        <f t="shared" si="3"/>
        <v>-4.2623709375370709</v>
      </c>
      <c r="I25" s="140">
        <f t="shared" si="4"/>
        <v>-0.20994348606863111</v>
      </c>
      <c r="K25" s="207">
        <f t="shared" si="2"/>
        <v>85.266807901294598</v>
      </c>
      <c r="L25" s="140">
        <f t="shared" si="5"/>
        <v>4.1998247358278062</v>
      </c>
      <c r="N25" s="150">
        <f t="shared" si="6"/>
        <v>-84.642186219353931</v>
      </c>
      <c r="O25" s="140">
        <f t="shared" si="7"/>
        <v>-4.1690589354546352</v>
      </c>
      <c r="Q25" s="150">
        <v>-4.8869926194777431</v>
      </c>
      <c r="R25" s="140">
        <f t="shared" si="8"/>
        <v>-0.24070928644179876</v>
      </c>
      <c r="T25" s="11"/>
    </row>
    <row r="26" spans="1:20" x14ac:dyDescent="0.3">
      <c r="A26" s="10" t="str">
        <f>name!$D22</f>
        <v>62 Leisure, travel and related personal service occupations</v>
      </c>
      <c r="B26" s="150">
        <v>627.38990653790802</v>
      </c>
      <c r="C26" s="140">
        <f t="shared" si="0"/>
        <v>2.1893709548433642</v>
      </c>
      <c r="E26" s="150">
        <v>625.46697377789098</v>
      </c>
      <c r="F26" s="140">
        <f t="shared" si="1"/>
        <v>2.0946873939409967</v>
      </c>
      <c r="H26" s="150">
        <f t="shared" si="3"/>
        <v>-1.9229327600170336</v>
      </c>
      <c r="I26" s="140">
        <f t="shared" si="4"/>
        <v>-0.30649724198278383</v>
      </c>
      <c r="K26" s="207">
        <f t="shared" si="2"/>
        <v>26.349276484866017</v>
      </c>
      <c r="L26" s="140">
        <f t="shared" si="5"/>
        <v>4.1998247358278062</v>
      </c>
      <c r="N26" s="150">
        <f t="shared" si="6"/>
        <v>-35.454512161693586</v>
      </c>
      <c r="O26" s="140">
        <f t="shared" si="7"/>
        <v>-5.6511129350710014</v>
      </c>
      <c r="Q26" s="150">
        <v>7.1823029168105332</v>
      </c>
      <c r="R26" s="140">
        <f t="shared" si="8"/>
        <v>1.1447909572604138</v>
      </c>
      <c r="T26" s="11"/>
    </row>
    <row r="27" spans="1:20" x14ac:dyDescent="0.3">
      <c r="A27" s="10" t="str">
        <f>name!$D23</f>
        <v>63 Community and civil enforcement occupations</v>
      </c>
      <c r="B27" s="150">
        <v>28.840224624383744</v>
      </c>
      <c r="C27" s="140">
        <f t="shared" si="0"/>
        <v>0.1006422791724798</v>
      </c>
      <c r="E27" s="150">
        <v>31.742463409059319</v>
      </c>
      <c r="F27" s="140">
        <f t="shared" si="1"/>
        <v>0.10630543376891599</v>
      </c>
      <c r="H27" s="150">
        <f t="shared" si="3"/>
        <v>2.9022387846755748</v>
      </c>
      <c r="I27" s="140">
        <f t="shared" si="4"/>
        <v>10.063162899992806</v>
      </c>
      <c r="K27" s="207">
        <f t="shared" si="2"/>
        <v>1.2112388876431706</v>
      </c>
      <c r="L27" s="140">
        <f t="shared" si="5"/>
        <v>4.1998247358278062</v>
      </c>
      <c r="N27" s="150">
        <f t="shared" si="6"/>
        <v>1.5631137974085421</v>
      </c>
      <c r="O27" s="140">
        <f t="shared" si="7"/>
        <v>5.4199085401261593</v>
      </c>
      <c r="Q27" s="150">
        <v>0.12788609962386221</v>
      </c>
      <c r="R27" s="140">
        <f t="shared" si="8"/>
        <v>0.44342962403884145</v>
      </c>
      <c r="T27" s="171"/>
    </row>
    <row r="28" spans="1:20" x14ac:dyDescent="0.3">
      <c r="A28" s="10" t="str">
        <f>name!$D24</f>
        <v>71 Sales occupations</v>
      </c>
      <c r="B28" s="150">
        <v>1992.1189392123579</v>
      </c>
      <c r="C28" s="140">
        <f t="shared" si="0"/>
        <v>6.9517971179559952</v>
      </c>
      <c r="E28" s="150">
        <v>1852.3067229280093</v>
      </c>
      <c r="F28" s="140">
        <f t="shared" si="1"/>
        <v>6.2033707691931372</v>
      </c>
      <c r="H28" s="150">
        <f t="shared" si="3"/>
        <v>-139.81221628434855</v>
      </c>
      <c r="I28" s="140">
        <f t="shared" si="4"/>
        <v>-7.0182665066990113</v>
      </c>
      <c r="K28" s="207">
        <f t="shared" si="2"/>
        <v>83.665503976151101</v>
      </c>
      <c r="L28" s="140">
        <f t="shared" si="5"/>
        <v>4.1998247358278062</v>
      </c>
      <c r="N28" s="150">
        <f t="shared" si="6"/>
        <v>-167.90992564853218</v>
      </c>
      <c r="O28" s="140">
        <f t="shared" si="7"/>
        <v>-8.4287098698494507</v>
      </c>
      <c r="Q28" s="150">
        <v>-55.567794611967479</v>
      </c>
      <c r="R28" s="140">
        <f t="shared" si="8"/>
        <v>-2.7893813726773673</v>
      </c>
      <c r="T28" s="11"/>
    </row>
    <row r="29" spans="1:20" x14ac:dyDescent="0.3">
      <c r="A29" s="10" t="str">
        <f>name!$D25</f>
        <v>72 Customer service occupations</v>
      </c>
      <c r="B29" s="150">
        <v>459.59571905867102</v>
      </c>
      <c r="C29" s="140">
        <f t="shared" si="0"/>
        <v>1.6038280306898869</v>
      </c>
      <c r="E29" s="150">
        <v>510.02655870683429</v>
      </c>
      <c r="F29" s="140">
        <f t="shared" si="1"/>
        <v>1.70807772094725</v>
      </c>
      <c r="H29" s="150">
        <f t="shared" si="3"/>
        <v>50.430839648163271</v>
      </c>
      <c r="I29" s="140">
        <f t="shared" si="4"/>
        <v>10.972869754194846</v>
      </c>
      <c r="K29" s="207">
        <f t="shared" si="2"/>
        <v>19.302214693831736</v>
      </c>
      <c r="L29" s="140">
        <f t="shared" si="5"/>
        <v>4.1998247358278062</v>
      </c>
      <c r="N29" s="150">
        <f t="shared" si="6"/>
        <v>35.318421983566509</v>
      </c>
      <c r="O29" s="140">
        <f t="shared" si="7"/>
        <v>7.6846716622827884</v>
      </c>
      <c r="Q29" s="150">
        <v>-4.1897970292349749</v>
      </c>
      <c r="R29" s="140">
        <f t="shared" si="8"/>
        <v>-0.91162664391573978</v>
      </c>
      <c r="T29" s="11"/>
    </row>
    <row r="30" spans="1:20" x14ac:dyDescent="0.3">
      <c r="A30" s="10" t="str">
        <f>name!$D26</f>
        <v>81 Process, plant and machine operatives</v>
      </c>
      <c r="B30" s="150">
        <v>713.31333030825101</v>
      </c>
      <c r="C30" s="140">
        <f t="shared" si="0"/>
        <v>2.4892135987608759</v>
      </c>
      <c r="E30" s="150">
        <v>607.28189366049708</v>
      </c>
      <c r="F30" s="140">
        <f t="shared" si="1"/>
        <v>2.033785604275538</v>
      </c>
      <c r="H30" s="150">
        <f t="shared" si="3"/>
        <v>-106.03143664775394</v>
      </c>
      <c r="I30" s="140">
        <f t="shared" si="4"/>
        <v>-14.864636919365227</v>
      </c>
      <c r="K30" s="207">
        <f t="shared" si="2"/>
        <v>29.957909690243032</v>
      </c>
      <c r="L30" s="140">
        <f t="shared" si="5"/>
        <v>4.1998247358278062</v>
      </c>
      <c r="N30" s="150">
        <f t="shared" si="6"/>
        <v>-133.99667582131528</v>
      </c>
      <c r="O30" s="140">
        <f t="shared" si="7"/>
        <v>-18.785107487534265</v>
      </c>
      <c r="Q30" s="150">
        <v>-1.9926705166816847</v>
      </c>
      <c r="R30" s="140">
        <f t="shared" si="8"/>
        <v>-0.27935416765877241</v>
      </c>
      <c r="T30" s="11"/>
    </row>
    <row r="31" spans="1:20" x14ac:dyDescent="0.3">
      <c r="A31" s="10" t="str">
        <f>name!$D27</f>
        <v>82 Transport and mobile machine drivers and operatives</v>
      </c>
      <c r="B31" s="150">
        <v>1054.0123740558722</v>
      </c>
      <c r="C31" s="140">
        <f t="shared" si="0"/>
        <v>3.6781338905138976</v>
      </c>
      <c r="E31" s="150">
        <v>1054.8556506340044</v>
      </c>
      <c r="F31" s="140">
        <f t="shared" si="1"/>
        <v>3.5327090421166245</v>
      </c>
      <c r="H31" s="150">
        <f t="shared" si="3"/>
        <v>0.84327657813219048</v>
      </c>
      <c r="I31" s="140">
        <f t="shared" si="4"/>
        <v>8.0006326195891653E-2</v>
      </c>
      <c r="K31" s="207">
        <f t="shared" si="2"/>
        <v>44.266672404284421</v>
      </c>
      <c r="L31" s="140">
        <f t="shared" si="5"/>
        <v>4.1998247358278062</v>
      </c>
      <c r="N31" s="150">
        <f t="shared" si="6"/>
        <v>-70.777483749697268</v>
      </c>
      <c r="O31" s="140">
        <f t="shared" si="7"/>
        <v>-6.7150524502234559</v>
      </c>
      <c r="Q31" s="150">
        <v>27.354087923545041</v>
      </c>
      <c r="R31" s="140">
        <f t="shared" si="8"/>
        <v>2.5952340405915408</v>
      </c>
      <c r="T31" s="11"/>
    </row>
    <row r="32" spans="1:20" x14ac:dyDescent="0.3">
      <c r="A32" s="10" t="str">
        <f>name!$D28</f>
        <v>91 Elementary trades and related occupations</v>
      </c>
      <c r="B32" s="150">
        <v>475.90883310534315</v>
      </c>
      <c r="C32" s="140">
        <f t="shared" si="0"/>
        <v>1.6607550830773217</v>
      </c>
      <c r="E32" s="150">
        <v>381.35221201872946</v>
      </c>
      <c r="F32" s="140">
        <f t="shared" si="1"/>
        <v>1.2771476427319932</v>
      </c>
      <c r="H32" s="150">
        <f t="shared" si="3"/>
        <v>-94.556621086613688</v>
      </c>
      <c r="I32" s="140">
        <f t="shared" si="4"/>
        <v>-19.86864174586216</v>
      </c>
      <c r="K32" s="207">
        <f t="shared" si="2"/>
        <v>19.987336892747674</v>
      </c>
      <c r="L32" s="140">
        <f t="shared" si="5"/>
        <v>4.1998247358278062</v>
      </c>
      <c r="N32" s="150">
        <f>H32-(K32+Q32)</f>
        <v>-116.963825607229</v>
      </c>
      <c r="O32" s="140">
        <f t="shared" si="7"/>
        <v>-24.576939420105042</v>
      </c>
      <c r="Q32" s="150">
        <v>2.4198676278676365</v>
      </c>
      <c r="R32" s="140">
        <f t="shared" si="8"/>
        <v>0.50847293841507557</v>
      </c>
      <c r="T32" s="11"/>
    </row>
    <row r="33" spans="1:20" x14ac:dyDescent="0.3">
      <c r="A33" s="10" t="str">
        <f>name!$D29</f>
        <v>92 Elementary administration and service occupations</v>
      </c>
      <c r="B33" s="150">
        <v>2826.2835298888986</v>
      </c>
      <c r="C33" s="140">
        <f t="shared" si="0"/>
        <v>9.862739272674375</v>
      </c>
      <c r="E33" s="150">
        <v>2620.1587668920147</v>
      </c>
      <c r="F33" s="140">
        <f t="shared" si="1"/>
        <v>8.7749054214358484</v>
      </c>
      <c r="H33" s="150">
        <f t="shared" ref="H33" si="9">E33-B33</f>
        <v>-206.12476299688387</v>
      </c>
      <c r="I33" s="140">
        <f>IF(B33&lt;&gt;0,((E33/B33)-1)*100,0)</f>
        <v>-7.2931381730475753</v>
      </c>
      <c r="K33" s="207">
        <f t="shared" si="2"/>
        <v>118.69895479290123</v>
      </c>
      <c r="L33" s="140">
        <f t="shared" ref="L33" si="10">IF(B33&lt;&gt;0,K33/B33*100,0)</f>
        <v>4.1998247358278062</v>
      </c>
      <c r="N33" s="150">
        <f>H33-(K33+Q33)</f>
        <v>-326.64587481101125</v>
      </c>
      <c r="O33" s="140">
        <f t="shared" ref="O33" si="11">IF(B33&lt;&gt;0,N33/B33*100,0)</f>
        <v>-11.557434749791424</v>
      </c>
      <c r="Q33" s="150">
        <v>1.8221570212261549</v>
      </c>
      <c r="R33" s="140">
        <f t="shared" ref="R33" si="12">IF(B33&lt;&gt;0,Q33/B33*100,0)</f>
        <v>6.447184091603804E-2</v>
      </c>
      <c r="T33" s="11"/>
    </row>
    <row r="34" spans="1:20" x14ac:dyDescent="0.3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3">
      <c r="A35" s="148" t="str">
        <f>name!$D$3</f>
        <v>All occupations</v>
      </c>
      <c r="B35" s="151">
        <f>SUM(B8:B33)</f>
        <v>28656.171999997772</v>
      </c>
      <c r="C35" s="146">
        <f>B35/B$35*100</f>
        <v>100</v>
      </c>
      <c r="D35" s="144"/>
      <c r="E35" s="151">
        <f>SUM(E8:E33)</f>
        <v>29859.680999995038</v>
      </c>
      <c r="F35" s="146">
        <f t="shared" ref="F35" si="13">E35/E$35*100</f>
        <v>100</v>
      </c>
      <c r="G35" s="144"/>
      <c r="H35" s="151">
        <f>E35-B35</f>
        <v>1203.5089999972661</v>
      </c>
      <c r="I35" s="146">
        <f t="shared" si="4"/>
        <v>4.1998247358278062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45" x14ac:dyDescent="0.4">
      <c r="A37" s="276" t="str">
        <f>CONCATENATE("ShiftShare Table 1.1  Shift-share by occupation, ",I40,", ",Info!B5)</f>
        <v>ShiftShare Table 1.1  Shift-share by occupation, 2020-2035, England</v>
      </c>
    </row>
    <row r="38" spans="1:20" ht="15.45" x14ac:dyDescent="0.4">
      <c r="A38" s="276"/>
    </row>
    <row r="39" spans="1:20" x14ac:dyDescent="0.3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8" t="str">
        <f>K3</f>
        <v>Components of change</v>
      </c>
      <c r="L39" s="378"/>
      <c r="M39" s="378"/>
      <c r="N39" s="378"/>
      <c r="O39" s="378"/>
      <c r="P39" s="378"/>
      <c r="Q39" s="378"/>
      <c r="R39" s="378"/>
    </row>
    <row r="40" spans="1:20" x14ac:dyDescent="0.3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7" t="str">
        <f>K4</f>
        <v>Scale effect</v>
      </c>
      <c r="L40" s="377"/>
      <c r="M40" s="135"/>
      <c r="N40" s="377" t="str">
        <f>N4</f>
        <v>Occupation effect</v>
      </c>
      <c r="O40" s="377"/>
      <c r="P40" s="135"/>
      <c r="Q40" s="377" t="str">
        <f>Q4</f>
        <v>Industry mix effect</v>
      </c>
      <c r="R40" s="377"/>
    </row>
    <row r="41" spans="1:20" x14ac:dyDescent="0.3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3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3">
      <c r="A44" s="134" t="str">
        <f t="shared" ref="A44:A69" si="14">A8</f>
        <v>11 Corporate managers and directors</v>
      </c>
      <c r="B44" s="150">
        <v>2300.8631856488205</v>
      </c>
      <c r="C44" s="140">
        <f t="shared" ref="C44:C69" si="15">B44/B$71*100</f>
        <v>7.7055852862232612</v>
      </c>
      <c r="E44" s="150">
        <v>2367.6940169092045</v>
      </c>
      <c r="F44" s="140">
        <f t="shared" ref="F44:F69" si="16">E44/E$71*100</f>
        <v>7.3828727736048068</v>
      </c>
      <c r="H44" s="150">
        <f>E44-B44</f>
        <v>66.830831260384002</v>
      </c>
      <c r="I44" s="140">
        <f>IF(B44&gt;0,((E44/B44)-1)*100,0)</f>
        <v>2.9045982254498171</v>
      </c>
      <c r="K44" s="150">
        <f>(($E$71/$B$71)-1)*B44</f>
        <v>170.32502772550581</v>
      </c>
      <c r="L44" s="140">
        <f>IF(B44&gt;0,K44/B44*100,0)</f>
        <v>7.4026577846033836</v>
      </c>
      <c r="N44" s="150">
        <f>H44-(K44+Q44)</f>
        <v>-66.82851620111299</v>
      </c>
      <c r="O44" s="140">
        <f>IF(B44&gt;0,N44/B44*100,0)</f>
        <v>-2.9044976084602792</v>
      </c>
      <c r="Q44" s="150">
        <v>-36.66568026400882</v>
      </c>
      <c r="R44" s="140">
        <f>IF(B44&gt;0,Q44/B44*100,0)</f>
        <v>-1.5935619506932772</v>
      </c>
      <c r="T44" s="150"/>
    </row>
    <row r="45" spans="1:20" x14ac:dyDescent="0.3">
      <c r="A45" s="134" t="str">
        <f t="shared" si="14"/>
        <v>12 Other managers and proprietors</v>
      </c>
      <c r="B45" s="150">
        <v>997.09987935375352</v>
      </c>
      <c r="C45" s="140">
        <f t="shared" si="15"/>
        <v>3.3392851027240349</v>
      </c>
      <c r="E45" s="150">
        <v>1429.4676888704503</v>
      </c>
      <c r="F45" s="140">
        <f t="shared" si="16"/>
        <v>4.4573234571442253</v>
      </c>
      <c r="H45" s="150">
        <f t="shared" ref="H45:H71" si="17">E45-B45</f>
        <v>432.36780951669675</v>
      </c>
      <c r="I45" s="140">
        <f t="shared" ref="I45:I71" si="18">IF(B45&gt;0,((E45/B45)-1)*100,0)</f>
        <v>43.36253754206907</v>
      </c>
      <c r="K45" s="150">
        <f t="shared" ref="K45:K68" si="19">(($E$71/$B$71)-1)*B45</f>
        <v>73.811891839251587</v>
      </c>
      <c r="L45" s="140">
        <f t="shared" ref="L45:L68" si="20">IF(B45&gt;0,K45/B45*100,0)</f>
        <v>7.4026577846033836</v>
      </c>
      <c r="N45" s="150">
        <f t="shared" ref="N45:N68" si="21">H45-(K45+Q45)</f>
        <v>343.95212022458469</v>
      </c>
      <c r="O45" s="140">
        <f t="shared" ref="O45:O68" si="22">IF(B45&gt;0,N45/B45*100,0)</f>
        <v>34.495252416188137</v>
      </c>
      <c r="Q45" s="150">
        <v>14.603797452860482</v>
      </c>
      <c r="R45" s="140">
        <f>IF(B45&gt;0,Q45/B45*100,0)</f>
        <v>1.4646273412775441</v>
      </c>
      <c r="T45" s="150"/>
    </row>
    <row r="46" spans="1:20" x14ac:dyDescent="0.3">
      <c r="A46" s="134" t="str">
        <f t="shared" si="14"/>
        <v>21 Science, research, engineering and technology professionals</v>
      </c>
      <c r="B46" s="150">
        <v>1898.9978151049093</v>
      </c>
      <c r="C46" s="140">
        <f t="shared" si="15"/>
        <v>6.359739124825964</v>
      </c>
      <c r="E46" s="150">
        <v>2241.4331785640356</v>
      </c>
      <c r="F46" s="140">
        <f t="shared" si="16"/>
        <v>6.9891699981896291</v>
      </c>
      <c r="H46" s="150">
        <f t="shared" si="17"/>
        <v>342.43536345912639</v>
      </c>
      <c r="I46" s="140">
        <f t="shared" si="18"/>
        <v>18.032425352748959</v>
      </c>
      <c r="K46" s="150">
        <f t="shared" si="19"/>
        <v>140.57630958931173</v>
      </c>
      <c r="L46" s="140">
        <f t="shared" si="20"/>
        <v>7.4026577846033836</v>
      </c>
      <c r="N46" s="150">
        <f t="shared" si="21"/>
        <v>209.15892309036644</v>
      </c>
      <c r="O46" s="140">
        <f t="shared" si="22"/>
        <v>11.014173972538854</v>
      </c>
      <c r="Q46" s="150">
        <v>-7.2998692205517921</v>
      </c>
      <c r="R46" s="140">
        <f t="shared" ref="R46:R68" si="23">IF(B46&gt;0,Q46/B46*100,0)</f>
        <v>-0.38440640439328333</v>
      </c>
      <c r="T46" s="150"/>
    </row>
    <row r="47" spans="1:20" x14ac:dyDescent="0.3">
      <c r="A47" s="134" t="str">
        <f t="shared" si="14"/>
        <v>22 Health professionals</v>
      </c>
      <c r="B47" s="150">
        <v>1353.7379872555568</v>
      </c>
      <c r="C47" s="140">
        <f t="shared" si="15"/>
        <v>4.5336652700870506</v>
      </c>
      <c r="E47" s="150">
        <v>1588.4343307583806</v>
      </c>
      <c r="F47" s="140">
        <f t="shared" si="16"/>
        <v>4.9530084924250293</v>
      </c>
      <c r="H47" s="150">
        <f t="shared" si="17"/>
        <v>234.69634350282377</v>
      </c>
      <c r="I47" s="140">
        <f t="shared" si="18"/>
        <v>17.336910518306837</v>
      </c>
      <c r="K47" s="150">
        <f t="shared" si="19"/>
        <v>100.21259049670664</v>
      </c>
      <c r="L47" s="140">
        <f t="shared" si="20"/>
        <v>7.4026577846033836</v>
      </c>
      <c r="N47" s="150">
        <f t="shared" si="21"/>
        <v>86.12678687469284</v>
      </c>
      <c r="O47" s="140">
        <f t="shared" si="22"/>
        <v>6.3621459754777456</v>
      </c>
      <c r="Q47" s="150">
        <v>48.356966131424279</v>
      </c>
      <c r="R47" s="140">
        <f t="shared" si="23"/>
        <v>3.5721067582256976</v>
      </c>
      <c r="T47" s="150"/>
    </row>
    <row r="48" spans="1:20" x14ac:dyDescent="0.3">
      <c r="A48" s="134" t="str">
        <f t="shared" si="14"/>
        <v>23 Teaching and other educational professionals</v>
      </c>
      <c r="B48" s="150">
        <v>1500.5047473431287</v>
      </c>
      <c r="C48" s="140">
        <f t="shared" si="15"/>
        <v>5.0251867973518474</v>
      </c>
      <c r="E48" s="150">
        <v>1699.3396854728551</v>
      </c>
      <c r="F48" s="140">
        <f t="shared" si="16"/>
        <v>5.29883025736632</v>
      </c>
      <c r="H48" s="150">
        <f t="shared" si="17"/>
        <v>198.83493812972642</v>
      </c>
      <c r="I48" s="140">
        <f t="shared" si="18"/>
        <v>13.25120353546323</v>
      </c>
      <c r="K48" s="150">
        <f t="shared" si="19"/>
        <v>111.07723148753945</v>
      </c>
      <c r="L48" s="140">
        <f t="shared" si="20"/>
        <v>7.4026577846033836</v>
      </c>
      <c r="N48" s="150">
        <f t="shared" si="21"/>
        <v>121.30719878972631</v>
      </c>
      <c r="O48" s="140">
        <f t="shared" si="22"/>
        <v>8.0844261908880402</v>
      </c>
      <c r="Q48" s="150">
        <v>-33.54949214753934</v>
      </c>
      <c r="R48" s="140">
        <f t="shared" si="23"/>
        <v>-2.235880440028184</v>
      </c>
      <c r="T48" s="150"/>
    </row>
    <row r="49" spans="1:20" x14ac:dyDescent="0.3">
      <c r="A49" s="134" t="str">
        <f t="shared" si="14"/>
        <v>24 Business, media and public service professionals</v>
      </c>
      <c r="B49" s="150">
        <v>2289.6674970727631</v>
      </c>
      <c r="C49" s="140">
        <f t="shared" si="15"/>
        <v>7.6680909520538538</v>
      </c>
      <c r="E49" s="150">
        <v>2883.476674638734</v>
      </c>
      <c r="F49" s="140">
        <f t="shared" si="16"/>
        <v>8.9911708533625063</v>
      </c>
      <c r="H49" s="150">
        <f t="shared" si="17"/>
        <v>593.80917756597091</v>
      </c>
      <c r="I49" s="140">
        <f t="shared" si="18"/>
        <v>25.934297373969329</v>
      </c>
      <c r="K49" s="150">
        <f t="shared" si="19"/>
        <v>169.49624921359035</v>
      </c>
      <c r="L49" s="140">
        <f t="shared" si="20"/>
        <v>7.4026577846033836</v>
      </c>
      <c r="N49" s="150">
        <f t="shared" si="21"/>
        <v>425.92448694726914</v>
      </c>
      <c r="O49" s="140">
        <f t="shared" si="22"/>
        <v>18.602023546728706</v>
      </c>
      <c r="Q49" s="150">
        <v>-1.6115585948885669</v>
      </c>
      <c r="R49" s="140">
        <f t="shared" si="23"/>
        <v>-7.03839573627556E-2</v>
      </c>
      <c r="T49" s="150"/>
    </row>
    <row r="50" spans="1:20" x14ac:dyDescent="0.3">
      <c r="A50" s="134" t="str">
        <f t="shared" si="14"/>
        <v>31 Science, engineering and technology associate professionals</v>
      </c>
      <c r="B50" s="150">
        <v>591.71409062760927</v>
      </c>
      <c r="C50" s="140">
        <f t="shared" si="15"/>
        <v>1.9816490692841213</v>
      </c>
      <c r="E50" s="150">
        <v>561.40487958926167</v>
      </c>
      <c r="F50" s="140">
        <f t="shared" si="16"/>
        <v>1.7505559294773463</v>
      </c>
      <c r="H50" s="150">
        <f t="shared" si="17"/>
        <v>-30.309211038347598</v>
      </c>
      <c r="I50" s="140">
        <f t="shared" si="18"/>
        <v>-5.1222729893418144</v>
      </c>
      <c r="K50" s="150">
        <f t="shared" si="19"/>
        <v>43.80256919243984</v>
      </c>
      <c r="L50" s="140">
        <f t="shared" si="20"/>
        <v>7.4026577846033836</v>
      </c>
      <c r="N50" s="150">
        <f t="shared" si="21"/>
        <v>-66.399845299676514</v>
      </c>
      <c r="O50" s="140">
        <f t="shared" si="22"/>
        <v>-11.221609617112319</v>
      </c>
      <c r="Q50" s="150">
        <v>-7.7119349311109291</v>
      </c>
      <c r="R50" s="140">
        <f t="shared" si="23"/>
        <v>-1.3033211568328829</v>
      </c>
      <c r="T50" s="150"/>
    </row>
    <row r="51" spans="1:20" x14ac:dyDescent="0.3">
      <c r="A51" s="134" t="str">
        <f t="shared" si="14"/>
        <v>32 Health and social care associate professionals</v>
      </c>
      <c r="B51" s="150">
        <v>568.76339753397008</v>
      </c>
      <c r="C51" s="140">
        <f t="shared" si="15"/>
        <v>1.904787253199606</v>
      </c>
      <c r="E51" s="150">
        <v>632.02415358167207</v>
      </c>
      <c r="F51" s="140">
        <f t="shared" si="16"/>
        <v>1.970758840633454</v>
      </c>
      <c r="H51" s="150">
        <f t="shared" si="17"/>
        <v>63.260756047701989</v>
      </c>
      <c r="I51" s="140">
        <f t="shared" si="18"/>
        <v>11.122508291142918</v>
      </c>
      <c r="K51" s="150">
        <f t="shared" si="19"/>
        <v>42.103607923523128</v>
      </c>
      <c r="L51" s="140">
        <f t="shared" si="20"/>
        <v>7.4026577846033836</v>
      </c>
      <c r="N51" s="150">
        <f t="shared" si="21"/>
        <v>0.91366340907393351</v>
      </c>
      <c r="O51" s="140">
        <f t="shared" si="22"/>
        <v>0.16064033182081902</v>
      </c>
      <c r="Q51" s="150">
        <v>20.24348471510493</v>
      </c>
      <c r="R51" s="140">
        <f t="shared" si="23"/>
        <v>3.5592101747187175</v>
      </c>
      <c r="T51" s="150"/>
    </row>
    <row r="52" spans="1:20" x14ac:dyDescent="0.3">
      <c r="A52" s="134" t="str">
        <f t="shared" si="14"/>
        <v>33 Protective service occupations</v>
      </c>
      <c r="B52" s="150">
        <v>321.69473826189443</v>
      </c>
      <c r="C52" s="140">
        <f t="shared" si="15"/>
        <v>1.0773549063097756</v>
      </c>
      <c r="E52" s="150">
        <v>442.14672512900484</v>
      </c>
      <c r="F52" s="140">
        <f t="shared" si="16"/>
        <v>1.3786887138206745</v>
      </c>
      <c r="H52" s="150">
        <f t="shared" si="17"/>
        <v>120.45198686711041</v>
      </c>
      <c r="I52" s="140">
        <f t="shared" si="18"/>
        <v>37.442945917582726</v>
      </c>
      <c r="K52" s="150">
        <f t="shared" si="19"/>
        <v>23.813960584603606</v>
      </c>
      <c r="L52" s="140">
        <f t="shared" si="20"/>
        <v>7.4026577846033836</v>
      </c>
      <c r="N52" s="150">
        <f t="shared" si="21"/>
        <v>100.02644185808336</v>
      </c>
      <c r="O52" s="140">
        <f t="shared" si="22"/>
        <v>31.093589655374153</v>
      </c>
      <c r="Q52" s="150">
        <v>-3.3884155755765661</v>
      </c>
      <c r="R52" s="140">
        <f t="shared" si="23"/>
        <v>-1.0533015223948201</v>
      </c>
      <c r="T52" s="150"/>
    </row>
    <row r="53" spans="1:20" x14ac:dyDescent="0.3">
      <c r="A53" s="134" t="str">
        <f t="shared" si="14"/>
        <v>34 Culture, media and sports occupations</v>
      </c>
      <c r="B53" s="150">
        <v>678.67489071769273</v>
      </c>
      <c r="C53" s="140">
        <f t="shared" si="15"/>
        <v>2.2728805800631475</v>
      </c>
      <c r="E53" s="150">
        <v>746.4495820140279</v>
      </c>
      <c r="F53" s="140">
        <f t="shared" si="16"/>
        <v>2.327556794316715</v>
      </c>
      <c r="H53" s="150">
        <f t="shared" si="17"/>
        <v>67.774691296335163</v>
      </c>
      <c r="I53" s="140">
        <f t="shared" si="18"/>
        <v>9.9863266231441159</v>
      </c>
      <c r="K53" s="150">
        <f t="shared" si="19"/>
        <v>50.239979629861786</v>
      </c>
      <c r="L53" s="140">
        <f t="shared" si="20"/>
        <v>7.4026577846033836</v>
      </c>
      <c r="N53" s="150">
        <f t="shared" si="21"/>
        <v>20.420887101297851</v>
      </c>
      <c r="O53" s="140">
        <f t="shared" si="22"/>
        <v>3.0089351146766226</v>
      </c>
      <c r="Q53" s="150">
        <v>-2.8861754348244744</v>
      </c>
      <c r="R53" s="140">
        <f t="shared" si="23"/>
        <v>-0.42526627613589318</v>
      </c>
      <c r="T53" s="150"/>
    </row>
    <row r="54" spans="1:20" x14ac:dyDescent="0.3">
      <c r="A54" s="134" t="str">
        <f t="shared" si="14"/>
        <v>35 Business and public service associate professionals</v>
      </c>
      <c r="B54" s="150">
        <v>1991.4785005112092</v>
      </c>
      <c r="C54" s="140">
        <f t="shared" si="15"/>
        <v>6.6694567182802116</v>
      </c>
      <c r="E54" s="150">
        <v>2011.855838852345</v>
      </c>
      <c r="F54" s="140">
        <f t="shared" si="16"/>
        <v>6.27330879370568</v>
      </c>
      <c r="H54" s="150">
        <f t="shared" si="17"/>
        <v>20.377338341135783</v>
      </c>
      <c r="I54" s="140">
        <f t="shared" si="18"/>
        <v>1.0232266296575698</v>
      </c>
      <c r="K54" s="150">
        <f t="shared" si="19"/>
        <v>147.42233824679576</v>
      </c>
      <c r="L54" s="140">
        <f t="shared" si="20"/>
        <v>7.4026577846033836</v>
      </c>
      <c r="N54" s="150">
        <f t="shared" si="21"/>
        <v>-99.259329579438699</v>
      </c>
      <c r="O54" s="140">
        <f t="shared" si="22"/>
        <v>-4.9842029202905778</v>
      </c>
      <c r="Q54" s="150">
        <v>-27.785670326221279</v>
      </c>
      <c r="R54" s="140">
        <f t="shared" si="23"/>
        <v>-1.3952282346552445</v>
      </c>
      <c r="T54" s="150"/>
    </row>
    <row r="55" spans="1:20" x14ac:dyDescent="0.3">
      <c r="A55" s="134" t="str">
        <f t="shared" si="14"/>
        <v>41 Administrative occupations</v>
      </c>
      <c r="B55" s="150">
        <v>2574.3940918239059</v>
      </c>
      <c r="C55" s="140">
        <f t="shared" si="15"/>
        <v>8.6216396344767841</v>
      </c>
      <c r="E55" s="150">
        <v>2246.6551666385835</v>
      </c>
      <c r="F55" s="140">
        <f t="shared" si="16"/>
        <v>7.00545304545179</v>
      </c>
      <c r="H55" s="150">
        <f t="shared" si="17"/>
        <v>-327.73892518532239</v>
      </c>
      <c r="I55" s="140">
        <f t="shared" si="18"/>
        <v>-12.730720841311671</v>
      </c>
      <c r="K55" s="150">
        <f t="shared" si="19"/>
        <v>190.57358464477196</v>
      </c>
      <c r="L55" s="140">
        <f t="shared" si="20"/>
        <v>7.4026577846033836</v>
      </c>
      <c r="N55" s="150">
        <f t="shared" si="21"/>
        <v>-495.96895872465052</v>
      </c>
      <c r="O55" s="140">
        <f t="shared" si="22"/>
        <v>-19.265463679388208</v>
      </c>
      <c r="Q55" s="150">
        <v>-22.343551105443805</v>
      </c>
      <c r="R55" s="140">
        <f t="shared" si="23"/>
        <v>-0.86791494652684875</v>
      </c>
      <c r="T55" s="150"/>
    </row>
    <row r="56" spans="1:20" x14ac:dyDescent="0.3">
      <c r="A56" s="134" t="str">
        <f t="shared" si="14"/>
        <v>42 Secretarial and related occupations</v>
      </c>
      <c r="B56" s="150">
        <v>572.63624585098148</v>
      </c>
      <c r="C56" s="140">
        <f t="shared" si="15"/>
        <v>1.9177574129176953</v>
      </c>
      <c r="E56" s="150">
        <v>473.46688944481207</v>
      </c>
      <c r="F56" s="140">
        <f t="shared" si="16"/>
        <v>1.4763503148301893</v>
      </c>
      <c r="H56" s="150">
        <f t="shared" si="17"/>
        <v>-99.169356406169413</v>
      </c>
      <c r="I56" s="140">
        <f t="shared" si="18"/>
        <v>-17.318036908193978</v>
      </c>
      <c r="K56" s="150">
        <f t="shared" si="19"/>
        <v>42.390301630948251</v>
      </c>
      <c r="L56" s="140">
        <f t="shared" si="20"/>
        <v>7.4026577846033836</v>
      </c>
      <c r="N56" s="150">
        <f t="shared" si="21"/>
        <v>-150.01990003471036</v>
      </c>
      <c r="O56" s="140">
        <f t="shared" si="22"/>
        <v>-26.198114618429237</v>
      </c>
      <c r="Q56" s="150">
        <v>8.460241997592691</v>
      </c>
      <c r="R56" s="140">
        <f t="shared" si="23"/>
        <v>1.4774199256318681</v>
      </c>
      <c r="T56" s="150"/>
    </row>
    <row r="57" spans="1:20" x14ac:dyDescent="0.3">
      <c r="A57" s="134" t="str">
        <f t="shared" si="14"/>
        <v>51 Skilled agricultural and related trades</v>
      </c>
      <c r="B57" s="150">
        <v>271.23814466195341</v>
      </c>
      <c r="C57" s="140">
        <f t="shared" si="15"/>
        <v>0.90837589544911246</v>
      </c>
      <c r="E57" s="150">
        <v>309.33559436851789</v>
      </c>
      <c r="F57" s="140">
        <f t="shared" si="16"/>
        <v>0.96456101221704804</v>
      </c>
      <c r="H57" s="150">
        <f t="shared" si="17"/>
        <v>38.097449706564475</v>
      </c>
      <c r="I57" s="140">
        <f t="shared" si="18"/>
        <v>14.045756637233197</v>
      </c>
      <c r="K57" s="150">
        <f t="shared" si="19"/>
        <v>20.078831630631882</v>
      </c>
      <c r="L57" s="140">
        <f t="shared" si="20"/>
        <v>7.4026577846033836</v>
      </c>
      <c r="N57" s="150">
        <f t="shared" si="21"/>
        <v>23.162070193153678</v>
      </c>
      <c r="O57" s="140">
        <f t="shared" si="22"/>
        <v>8.5393852778416459</v>
      </c>
      <c r="Q57" s="150">
        <v>-5.1434521172210852</v>
      </c>
      <c r="R57" s="140">
        <f t="shared" si="23"/>
        <v>-1.8962864252118437</v>
      </c>
      <c r="T57" s="150"/>
    </row>
    <row r="58" spans="1:20" x14ac:dyDescent="0.3">
      <c r="A58" s="134" t="str">
        <f t="shared" si="14"/>
        <v>52 Skilled metal, electrical and electronic trades</v>
      </c>
      <c r="B58" s="150">
        <v>926.35566763503004</v>
      </c>
      <c r="C58" s="140">
        <f t="shared" si="15"/>
        <v>3.102362907477759</v>
      </c>
      <c r="E58" s="150">
        <v>872.67621532730266</v>
      </c>
      <c r="F58" s="140">
        <f t="shared" si="16"/>
        <v>2.7211529126229559</v>
      </c>
      <c r="H58" s="150">
        <f t="shared" si="17"/>
        <v>-53.679452307727388</v>
      </c>
      <c r="I58" s="140">
        <f t="shared" si="18"/>
        <v>-5.7946914109966112</v>
      </c>
      <c r="K58" s="150">
        <f t="shared" si="19"/>
        <v>68.574939943299199</v>
      </c>
      <c r="L58" s="140">
        <f t="shared" si="20"/>
        <v>7.4026577846033836</v>
      </c>
      <c r="N58" s="150">
        <f t="shared" si="21"/>
        <v>-84.007515892032217</v>
      </c>
      <c r="O58" s="140">
        <f t="shared" si="22"/>
        <v>-9.0686027869297714</v>
      </c>
      <c r="Q58" s="150">
        <v>-38.246876358994363</v>
      </c>
      <c r="R58" s="140">
        <f t="shared" si="23"/>
        <v>-4.1287464086702226</v>
      </c>
      <c r="T58" s="150"/>
    </row>
    <row r="59" spans="1:20" x14ac:dyDescent="0.3">
      <c r="A59" s="134" t="str">
        <f t="shared" si="14"/>
        <v>53 Skilled construction and building trades</v>
      </c>
      <c r="B59" s="150">
        <v>767.57313691964396</v>
      </c>
      <c r="C59" s="140">
        <f t="shared" si="15"/>
        <v>2.5706005932205755</v>
      </c>
      <c r="E59" s="150">
        <v>763.22944153326262</v>
      </c>
      <c r="F59" s="140">
        <f t="shared" si="16"/>
        <v>2.3798792511480205</v>
      </c>
      <c r="H59" s="150">
        <f t="shared" si="17"/>
        <v>-4.3436953863813415</v>
      </c>
      <c r="I59" s="140">
        <f t="shared" si="18"/>
        <v>-0.56589987031243627</v>
      </c>
      <c r="K59" s="150">
        <f t="shared" si="19"/>
        <v>56.820812572706409</v>
      </c>
      <c r="L59" s="140">
        <f t="shared" si="20"/>
        <v>7.4026577846033836</v>
      </c>
      <c r="N59" s="150">
        <f t="shared" si="21"/>
        <v>-77.146271535100098</v>
      </c>
      <c r="O59" s="140">
        <f t="shared" si="22"/>
        <v>-10.050673717516565</v>
      </c>
      <c r="Q59" s="150">
        <v>15.981763576012353</v>
      </c>
      <c r="R59" s="140">
        <f t="shared" si="23"/>
        <v>2.0821160626007496</v>
      </c>
      <c r="T59" s="150"/>
    </row>
    <row r="60" spans="1:20" x14ac:dyDescent="0.3">
      <c r="A60" s="134" t="str">
        <f t="shared" si="14"/>
        <v>54 Textiles, printing and other skilled trades</v>
      </c>
      <c r="B60" s="150">
        <v>545.11129837873182</v>
      </c>
      <c r="C60" s="140">
        <f t="shared" si="15"/>
        <v>1.8255764298983048</v>
      </c>
      <c r="E60" s="150">
        <v>548.89697532090725</v>
      </c>
      <c r="F60" s="140">
        <f t="shared" si="16"/>
        <v>1.7115541559296665</v>
      </c>
      <c r="H60" s="150">
        <f t="shared" si="17"/>
        <v>3.7856769421754279</v>
      </c>
      <c r="I60" s="140">
        <f t="shared" si="18"/>
        <v>0.69447779810007937</v>
      </c>
      <c r="K60" s="150">
        <f t="shared" si="19"/>
        <v>40.35272396418577</v>
      </c>
      <c r="L60" s="140">
        <f t="shared" si="20"/>
        <v>7.4026577846033836</v>
      </c>
      <c r="N60" s="150">
        <f t="shared" si="21"/>
        <v>-46.429800669109277</v>
      </c>
      <c r="O60" s="140">
        <f t="shared" si="22"/>
        <v>-8.5174900625249617</v>
      </c>
      <c r="Q60" s="150">
        <v>9.8627536470989323</v>
      </c>
      <c r="R60" s="140">
        <f t="shared" si="23"/>
        <v>1.8093100760216676</v>
      </c>
      <c r="T60" s="150"/>
    </row>
    <row r="61" spans="1:20" x14ac:dyDescent="0.3">
      <c r="A61" s="134" t="str">
        <f t="shared" si="14"/>
        <v>61 Caring personal service occupations</v>
      </c>
      <c r="B61" s="150">
        <v>2025.984443266439</v>
      </c>
      <c r="C61" s="140">
        <f t="shared" si="15"/>
        <v>6.7850170377465711</v>
      </c>
      <c r="E61" s="150">
        <v>2414.2517515389786</v>
      </c>
      <c r="F61" s="140">
        <f t="shared" si="16"/>
        <v>7.5280477113054065</v>
      </c>
      <c r="H61" s="150">
        <f t="shared" si="17"/>
        <v>388.26730827253959</v>
      </c>
      <c r="I61" s="140">
        <f t="shared" si="18"/>
        <v>19.164377572739255</v>
      </c>
      <c r="K61" s="150">
        <f t="shared" si="19"/>
        <v>149.97669510431658</v>
      </c>
      <c r="L61" s="140">
        <f t="shared" si="20"/>
        <v>7.4026577846033836</v>
      </c>
      <c r="N61" s="150">
        <f t="shared" si="21"/>
        <v>172.72438446228546</v>
      </c>
      <c r="O61" s="140">
        <f t="shared" si="22"/>
        <v>8.5254546270753533</v>
      </c>
      <c r="Q61" s="150">
        <v>65.566228705937576</v>
      </c>
      <c r="R61" s="140">
        <f t="shared" si="23"/>
        <v>3.2362651610605133</v>
      </c>
      <c r="T61" s="150"/>
    </row>
    <row r="62" spans="1:20" x14ac:dyDescent="0.3">
      <c r="A62" s="134" t="str">
        <f t="shared" si="14"/>
        <v>62 Leisure, travel and related personal service occupations</v>
      </c>
      <c r="B62" s="150">
        <v>625.46697377789098</v>
      </c>
      <c r="C62" s="140">
        <f t="shared" si="15"/>
        <v>2.0946873939409967</v>
      </c>
      <c r="E62" s="150">
        <v>662.04991372339862</v>
      </c>
      <c r="F62" s="140">
        <f t="shared" si="16"/>
        <v>2.0643842692040422</v>
      </c>
      <c r="H62" s="150">
        <f t="shared" si="17"/>
        <v>36.582939945507633</v>
      </c>
      <c r="I62" s="140">
        <f t="shared" si="18"/>
        <v>5.848900338341223</v>
      </c>
      <c r="K62" s="150">
        <f t="shared" si="19"/>
        <v>46.301179624492249</v>
      </c>
      <c r="L62" s="140">
        <f t="shared" si="20"/>
        <v>7.4026577846033836</v>
      </c>
      <c r="N62" s="150">
        <f t="shared" si="21"/>
        <v>-6.4666501489354289</v>
      </c>
      <c r="O62" s="140">
        <f t="shared" si="22"/>
        <v>-1.033891543445713</v>
      </c>
      <c r="Q62" s="150">
        <v>-3.251589530049189</v>
      </c>
      <c r="R62" s="140">
        <f t="shared" si="23"/>
        <v>-0.51986590281645439</v>
      </c>
      <c r="T62" s="150"/>
    </row>
    <row r="63" spans="1:20" x14ac:dyDescent="0.3">
      <c r="A63" s="134" t="str">
        <f t="shared" si="14"/>
        <v>63 Community and civil enforcement occupations</v>
      </c>
      <c r="B63" s="150">
        <v>31.742463409059319</v>
      </c>
      <c r="C63" s="140">
        <f t="shared" si="15"/>
        <v>0.10630543376891599</v>
      </c>
      <c r="E63" s="150">
        <v>27.819487466245615</v>
      </c>
      <c r="F63" s="140">
        <f t="shared" si="16"/>
        <v>8.6745895003062401E-2</v>
      </c>
      <c r="H63" s="150">
        <f t="shared" si="17"/>
        <v>-3.9229759428137037</v>
      </c>
      <c r="I63" s="140">
        <f t="shared" si="18"/>
        <v>-12.35876337718037</v>
      </c>
      <c r="K63" s="150">
        <f t="shared" si="19"/>
        <v>2.3497859385756104</v>
      </c>
      <c r="L63" s="140">
        <f t="shared" si="20"/>
        <v>7.4026577846033836</v>
      </c>
      <c r="N63" s="150">
        <f t="shared" si="21"/>
        <v>-6.8781869487132354</v>
      </c>
      <c r="O63" s="140">
        <f t="shared" si="22"/>
        <v>-21.668724509737313</v>
      </c>
      <c r="Q63" s="150">
        <v>0.60542506732392143</v>
      </c>
      <c r="R63" s="140">
        <f t="shared" si="23"/>
        <v>1.9073033479535577</v>
      </c>
      <c r="T63" s="150"/>
    </row>
    <row r="64" spans="1:20" x14ac:dyDescent="0.3">
      <c r="A64" s="134" t="str">
        <f t="shared" si="14"/>
        <v>71 Sales occupations</v>
      </c>
      <c r="B64" s="150">
        <v>1852.3067229280093</v>
      </c>
      <c r="C64" s="140">
        <f t="shared" si="15"/>
        <v>6.2033707691931372</v>
      </c>
      <c r="E64" s="150">
        <v>1638.8493200669641</v>
      </c>
      <c r="F64" s="140">
        <f t="shared" si="16"/>
        <v>5.1102110064702337</v>
      </c>
      <c r="H64" s="150">
        <f t="shared" si="17"/>
        <v>-213.45740286104524</v>
      </c>
      <c r="I64" s="140">
        <f t="shared" si="18"/>
        <v>-11.52386914212703</v>
      </c>
      <c r="K64" s="150">
        <f t="shared" si="19"/>
        <v>137.11992781956212</v>
      </c>
      <c r="L64" s="140">
        <f t="shared" si="20"/>
        <v>7.4026577846033836</v>
      </c>
      <c r="N64" s="150">
        <f t="shared" si="21"/>
        <v>-286.2757877120946</v>
      </c>
      <c r="O64" s="140">
        <f t="shared" si="22"/>
        <v>-15.455096295259779</v>
      </c>
      <c r="Q64" s="150">
        <v>-64.301542968512763</v>
      </c>
      <c r="R64" s="140">
        <f t="shared" si="23"/>
        <v>-3.4714306314706316</v>
      </c>
      <c r="T64" s="150"/>
    </row>
    <row r="65" spans="1:20" x14ac:dyDescent="0.3">
      <c r="A65" s="134" t="str">
        <f t="shared" si="14"/>
        <v>72 Customer service occupations</v>
      </c>
      <c r="B65" s="150">
        <v>510.02655870683429</v>
      </c>
      <c r="C65" s="140">
        <f t="shared" si="15"/>
        <v>1.70807772094725</v>
      </c>
      <c r="E65" s="150">
        <v>749.94596673149408</v>
      </c>
      <c r="F65" s="140">
        <f t="shared" si="16"/>
        <v>2.3384591167250499</v>
      </c>
      <c r="H65" s="150">
        <f t="shared" si="17"/>
        <v>239.91940802465979</v>
      </c>
      <c r="I65" s="140">
        <f t="shared" si="18"/>
        <v>47.040571501408145</v>
      </c>
      <c r="K65" s="150">
        <f t="shared" si="19"/>
        <v>37.755520751656213</v>
      </c>
      <c r="L65" s="140">
        <f t="shared" si="20"/>
        <v>7.4026577846033836</v>
      </c>
      <c r="N65" s="150">
        <f t="shared" si="21"/>
        <v>205.31753760823119</v>
      </c>
      <c r="O65" s="140">
        <f t="shared" si="22"/>
        <v>40.256244327513286</v>
      </c>
      <c r="Q65" s="150">
        <v>-3.1536503352276304</v>
      </c>
      <c r="R65" s="140">
        <f t="shared" si="23"/>
        <v>-0.61833061070852269</v>
      </c>
      <c r="T65" s="150"/>
    </row>
    <row r="66" spans="1:20" x14ac:dyDescent="0.3">
      <c r="A66" s="134" t="str">
        <f t="shared" si="14"/>
        <v>81 Process, plant and machine operatives</v>
      </c>
      <c r="B66" s="150">
        <v>607.28189366049708</v>
      </c>
      <c r="C66" s="140">
        <f t="shared" si="15"/>
        <v>2.033785604275538</v>
      </c>
      <c r="E66" s="150">
        <v>716.39137017341181</v>
      </c>
      <c r="F66" s="140">
        <f t="shared" si="16"/>
        <v>2.2338301758278023</v>
      </c>
      <c r="H66" s="150">
        <f t="shared" si="17"/>
        <v>109.10947651291474</v>
      </c>
      <c r="I66" s="140">
        <f t="shared" si="18"/>
        <v>17.966858167833454</v>
      </c>
      <c r="K66" s="150">
        <f t="shared" si="19"/>
        <v>44.95500037554563</v>
      </c>
      <c r="L66" s="140">
        <f t="shared" si="20"/>
        <v>7.4026577846033836</v>
      </c>
      <c r="N66" s="150">
        <f t="shared" si="21"/>
        <v>106.93490948618211</v>
      </c>
      <c r="O66" s="140">
        <f t="shared" si="22"/>
        <v>17.608776188206988</v>
      </c>
      <c r="Q66" s="150">
        <v>-42.780433348813006</v>
      </c>
      <c r="R66" s="140">
        <f t="shared" si="23"/>
        <v>-7.0445758049769127</v>
      </c>
      <c r="T66" s="150"/>
    </row>
    <row r="67" spans="1:20" x14ac:dyDescent="0.3">
      <c r="A67" s="134" t="str">
        <f t="shared" si="14"/>
        <v>82 Transport and mobile machine drivers and operatives</v>
      </c>
      <c r="B67" s="150">
        <v>1054.8556506340044</v>
      </c>
      <c r="C67" s="140">
        <f t="shared" si="15"/>
        <v>3.5327090421166245</v>
      </c>
      <c r="E67" s="150">
        <v>1135.6959002790093</v>
      </c>
      <c r="F67" s="140">
        <f t="shared" si="16"/>
        <v>3.5412930392964839</v>
      </c>
      <c r="H67" s="150">
        <f t="shared" si="17"/>
        <v>80.84024964500486</v>
      </c>
      <c r="I67" s="140">
        <f t="shared" si="18"/>
        <v>7.6636314737866806</v>
      </c>
      <c r="K67" s="150">
        <f t="shared" si="19"/>
        <v>78.087353937986805</v>
      </c>
      <c r="L67" s="140">
        <f t="shared" si="20"/>
        <v>7.4026577846033836</v>
      </c>
      <c r="N67" s="150">
        <f t="shared" si="21"/>
        <v>1.8656509499600133</v>
      </c>
      <c r="O67" s="140">
        <f t="shared" si="22"/>
        <v>0.1768631517344286</v>
      </c>
      <c r="Q67" s="150">
        <v>0.88724475705804751</v>
      </c>
      <c r="R67" s="140">
        <f t="shared" si="23"/>
        <v>8.4110537448871134E-2</v>
      </c>
      <c r="T67" s="150"/>
    </row>
    <row r="68" spans="1:20" x14ac:dyDescent="0.3">
      <c r="A68" s="134" t="str">
        <f t="shared" si="14"/>
        <v>91 Elementary trades and related occupations</v>
      </c>
      <c r="B68" s="150">
        <v>381.35221201872946</v>
      </c>
      <c r="C68" s="140">
        <f t="shared" si="15"/>
        <v>1.2771476427319932</v>
      </c>
      <c r="E68" s="150">
        <v>305.22320056621066</v>
      </c>
      <c r="F68" s="140">
        <f t="shared" si="16"/>
        <v>0.9517378686771456</v>
      </c>
      <c r="H68" s="150">
        <f t="shared" si="17"/>
        <v>-76.129011452518796</v>
      </c>
      <c r="I68" s="140">
        <f t="shared" si="18"/>
        <v>-19.96291329989187</v>
      </c>
      <c r="K68" s="150">
        <f t="shared" si="19"/>
        <v>28.230199209761675</v>
      </c>
      <c r="L68" s="140">
        <f t="shared" si="20"/>
        <v>7.4026577846033836</v>
      </c>
      <c r="N68" s="150">
        <f t="shared" si="21"/>
        <v>-96.272035601890423</v>
      </c>
      <c r="O68" s="140">
        <f t="shared" si="22"/>
        <v>-25.244913381323769</v>
      </c>
      <c r="Q68" s="150">
        <v>-8.0871750603900399</v>
      </c>
      <c r="R68" s="140">
        <f t="shared" si="23"/>
        <v>-2.1206577031714851</v>
      </c>
      <c r="T68" s="150"/>
    </row>
    <row r="69" spans="1:20" x14ac:dyDescent="0.3">
      <c r="A69" s="134" t="str">
        <f t="shared" si="14"/>
        <v>92 Elementary administration and service occupations</v>
      </c>
      <c r="B69" s="150">
        <v>2620.1587668920147</v>
      </c>
      <c r="C69" s="140">
        <f t="shared" si="15"/>
        <v>8.7749054214358484</v>
      </c>
      <c r="E69" s="150">
        <v>2601.8770524398415</v>
      </c>
      <c r="F69" s="140">
        <f t="shared" si="16"/>
        <v>8.1130953212447405</v>
      </c>
      <c r="H69" s="150">
        <f t="shared" ref="H69" si="24">E69-B69</f>
        <v>-18.281714452173219</v>
      </c>
      <c r="I69" s="140">
        <f t="shared" ref="I69" si="25">IF(B69&gt;0,((E69/B69)-1)*100,0)</f>
        <v>-0.69773307950565799</v>
      </c>
      <c r="K69" s="150">
        <f t="shared" ref="K69" si="26">(($E$71/$B$71)-1)*B69</f>
        <v>193.96138692629975</v>
      </c>
      <c r="L69" s="140">
        <f t="shared" ref="L69" si="27">IF(B69&gt;0,K69/B69*100,0)</f>
        <v>7.4026577846033836</v>
      </c>
      <c r="N69" s="150">
        <f t="shared" ref="N69" si="28">H69-(K69+Q69)</f>
        <v>-335.8822626472201</v>
      </c>
      <c r="O69" s="140">
        <f t="shared" ref="O69" si="29">IF(B69&gt;0,N69/B69*100,0)</f>
        <v>-12.819156872911089</v>
      </c>
      <c r="Q69" s="150">
        <v>123.63916126874715</v>
      </c>
      <c r="R69" s="140">
        <f t="shared" ref="R69" si="30">IF(B69&gt;0,Q69/B69*100,0)</f>
        <v>4.7187660088020431</v>
      </c>
      <c r="T69" s="150"/>
    </row>
    <row r="70" spans="1:20" x14ac:dyDescent="0.3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3">
      <c r="A71" s="148" t="str">
        <f>name!$D$3</f>
        <v>All occupations</v>
      </c>
      <c r="B71" s="151">
        <f>SUM(B44:B69)</f>
        <v>29859.680999995038</v>
      </c>
      <c r="C71" s="146">
        <f>B71/B$71*100</f>
        <v>100</v>
      </c>
      <c r="D71" s="144"/>
      <c r="E71" s="151">
        <f>SUM(E44:E69)</f>
        <v>32070.090999998905</v>
      </c>
      <c r="F71" s="146">
        <f>E71/E$71*100</f>
        <v>100</v>
      </c>
      <c r="G71" s="144"/>
      <c r="H71" s="151">
        <f t="shared" si="17"/>
        <v>2210.410000003867</v>
      </c>
      <c r="I71" s="146">
        <f t="shared" si="18"/>
        <v>7.4026577846033836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3">
      <c r="T78" s="150"/>
    </row>
    <row r="79" spans="1:20" x14ac:dyDescent="0.3">
      <c r="T79" s="150"/>
    </row>
    <row r="80" spans="1:20" x14ac:dyDescent="0.3">
      <c r="T80" s="150"/>
    </row>
    <row r="81" spans="20:20" x14ac:dyDescent="0.3">
      <c r="T81" s="150"/>
    </row>
    <row r="82" spans="20:20" x14ac:dyDescent="0.3">
      <c r="T82" s="150"/>
    </row>
    <row r="83" spans="20:20" x14ac:dyDescent="0.3">
      <c r="T83" s="150"/>
    </row>
    <row r="84" spans="20:20" x14ac:dyDescent="0.3">
      <c r="T84" s="150"/>
    </row>
    <row r="85" spans="20:20" x14ac:dyDescent="0.3">
      <c r="T85" s="150"/>
    </row>
    <row r="86" spans="20:20" x14ac:dyDescent="0.3">
      <c r="T86" s="150"/>
    </row>
    <row r="87" spans="20:20" x14ac:dyDescent="0.3">
      <c r="T87" s="150"/>
    </row>
    <row r="88" spans="20:20" x14ac:dyDescent="0.3">
      <c r="T88" s="150"/>
    </row>
    <row r="89" spans="20:20" x14ac:dyDescent="0.3">
      <c r="T89" s="150"/>
    </row>
    <row r="90" spans="20:20" x14ac:dyDescent="0.3">
      <c r="T90" s="150"/>
    </row>
    <row r="91" spans="20:20" x14ac:dyDescent="0.3">
      <c r="T91" s="150"/>
    </row>
    <row r="92" spans="20:20" x14ac:dyDescent="0.3">
      <c r="T92" s="150"/>
    </row>
    <row r="93" spans="20:20" x14ac:dyDescent="0.3">
      <c r="T93" s="150"/>
    </row>
    <row r="94" spans="20:20" x14ac:dyDescent="0.3">
      <c r="T94" s="150"/>
    </row>
    <row r="95" spans="20:20" x14ac:dyDescent="0.3">
      <c r="T95" s="150"/>
    </row>
    <row r="96" spans="20:20" x14ac:dyDescent="0.3">
      <c r="T96" s="150"/>
    </row>
    <row r="97" spans="20:20" x14ac:dyDescent="0.3">
      <c r="T97" s="150"/>
    </row>
    <row r="98" spans="20:20" x14ac:dyDescent="0.3">
      <c r="T98" s="150"/>
    </row>
    <row r="99" spans="20:20" x14ac:dyDescent="0.3">
      <c r="T99" s="150"/>
    </row>
    <row r="100" spans="20:20" x14ac:dyDescent="0.3">
      <c r="T100" s="150"/>
    </row>
    <row r="101" spans="20:20" x14ac:dyDescent="0.3">
      <c r="T101" s="150"/>
    </row>
    <row r="102" spans="20:20" x14ac:dyDescent="0.3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5234375" defaultRowHeight="12.45" x14ac:dyDescent="0.3"/>
  <cols>
    <col min="1" max="1" width="40.84375" customWidth="1"/>
    <col min="2" max="3" width="9.69140625" customWidth="1"/>
    <col min="4" max="7" width="11.69140625" customWidth="1"/>
    <col min="8" max="8" width="7.69140625" customWidth="1"/>
    <col min="9" max="9" width="47" customWidth="1"/>
    <col min="10" max="14" width="11.69140625" customWidth="1"/>
    <col min="15" max="15" width="7.69140625" customWidth="1"/>
    <col min="16" max="16" width="53.53515625" customWidth="1"/>
    <col min="17" max="21" width="11.69140625" customWidth="1"/>
    <col min="22" max="22" width="11.84375" customWidth="1"/>
    <col min="23" max="23" width="5.3828125" customWidth="1"/>
    <col min="24" max="24" width="32.3046875" customWidth="1"/>
    <col min="25" max="29" width="11.69140625" customWidth="1"/>
    <col min="30" max="30" width="11.84375" customWidth="1"/>
  </cols>
  <sheetData>
    <row r="1" spans="1:30" ht="21" customHeight="1" x14ac:dyDescent="0.3">
      <c r="A1" s="379" t="str">
        <f>CONCATENATE("Replacement Demand Table 1  Replacement Demand by Occupation and Qualification, ",$B$6,"-",$C$6,", ",Info!B5)</f>
        <v>Replacement Demand Table 1  Replacement Demand by Occupation and Qualification, 2020-2035, England</v>
      </c>
      <c r="B1" s="379"/>
      <c r="C1" s="379"/>
      <c r="D1" s="379"/>
      <c r="E1" s="379"/>
      <c r="F1" s="379"/>
      <c r="G1" s="379"/>
      <c r="I1" s="379" t="str">
        <f>CONCATENATE("Replacement Demand Table 1.1  Replacement Demand by Occupation Group and Qualification, ",$B$6,"-",$C$6,", ",Info!B5)</f>
        <v>Replacement Demand Table 1.1  Replacement Demand by Occupation Group and Qualification, 2020-2035, England</v>
      </c>
      <c r="J1" s="379"/>
      <c r="K1" s="379"/>
      <c r="L1" s="379"/>
      <c r="M1" s="379"/>
      <c r="N1" s="379"/>
      <c r="P1" s="379" t="str">
        <f>CONCATENATE("Replacement Demand Table 1.2  Replacement Demand by Occupation and Gender, ",$B$6,"-",$C$6,", ",Info!B5)</f>
        <v>Replacement Demand Table 1.2  Replacement Demand by Occupation and Gender, 2020-2035, England</v>
      </c>
      <c r="Q1" s="379"/>
      <c r="R1" s="379"/>
      <c r="S1" s="379"/>
      <c r="T1" s="379"/>
      <c r="U1" s="379"/>
      <c r="V1" s="379"/>
      <c r="W1" s="89"/>
      <c r="X1" s="379" t="str">
        <f>CONCATENATE("Replacement Demand Table 1.3  Replacement Demand by Industry, ",$B$6,"-",$C$6,", ",Info!B5)</f>
        <v>Replacement Demand Table 1.3  Replacement Demand by Industry, 2020-2035, England</v>
      </c>
      <c r="Y1" s="379"/>
      <c r="Z1" s="379"/>
      <c r="AA1" s="379"/>
      <c r="AB1" s="379"/>
      <c r="AC1" s="379"/>
      <c r="AD1" s="379"/>
    </row>
    <row r="2" spans="1:30" ht="14.25" customHeight="1" x14ac:dyDescent="0.3">
      <c r="A2" s="379"/>
      <c r="B2" s="379"/>
      <c r="C2" s="379"/>
      <c r="D2" s="379"/>
      <c r="E2" s="379"/>
      <c r="F2" s="379"/>
      <c r="G2" s="379"/>
      <c r="I2" s="379"/>
      <c r="J2" s="379"/>
      <c r="K2" s="379"/>
      <c r="L2" s="379"/>
      <c r="M2" s="379"/>
      <c r="N2" s="379"/>
      <c r="P2" s="379"/>
      <c r="Q2" s="379"/>
      <c r="R2" s="379"/>
      <c r="S2" s="379"/>
      <c r="T2" s="379"/>
      <c r="U2" s="379"/>
      <c r="V2" s="379"/>
      <c r="X2" s="379"/>
      <c r="Y2" s="379"/>
      <c r="Z2" s="379"/>
      <c r="AA2" s="379"/>
      <c r="AB2" s="379"/>
      <c r="AC2" s="379"/>
      <c r="AD2" s="379"/>
    </row>
    <row r="3" spans="1:30" ht="15.45" x14ac:dyDescent="0.4">
      <c r="A3" s="1" t="s">
        <v>538</v>
      </c>
      <c r="B3" s="18"/>
      <c r="C3" s="18"/>
      <c r="D3" s="18"/>
      <c r="E3" s="18"/>
      <c r="F3" s="18"/>
      <c r="G3" s="18"/>
      <c r="I3" s="1" t="s">
        <v>539</v>
      </c>
      <c r="P3" s="181" t="s">
        <v>535</v>
      </c>
      <c r="S3" s="89"/>
      <c r="T3" s="89"/>
      <c r="U3" s="89"/>
      <c r="V3" s="89"/>
      <c r="W3" s="89"/>
      <c r="X3" s="1" t="s">
        <v>531</v>
      </c>
    </row>
    <row r="4" spans="1:30" ht="12.75" customHeight="1" x14ac:dyDescent="0.4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3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5" customHeight="1" x14ac:dyDescent="0.3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4">SUM(B36,B65,B94,B123,B152,B181,B210,B239,B268)</f>
        <v>2300.8631856488132</v>
      </c>
      <c r="C7" s="11">
        <f t="shared" si="4"/>
        <v>2367.6940169092109</v>
      </c>
      <c r="D7" s="11">
        <f t="shared" si="4"/>
        <v>66.830831260397133</v>
      </c>
      <c r="E7" s="11">
        <f t="shared" si="4"/>
        <v>1149.8091291621172</v>
      </c>
      <c r="F7" s="11">
        <f t="shared" si="4"/>
        <v>1216.6399604225146</v>
      </c>
      <c r="G7" s="200">
        <f>IF(B7&gt;0,(1+(E7/B7))^(1/($C$6-$B$6))-1,0)</f>
        <v>2.7387304805817525E-2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1518.2413496773415</v>
      </c>
      <c r="R7" s="11">
        <v>1451.2669141277029</v>
      </c>
      <c r="S7" s="342">
        <f>R7-Q7</f>
        <v>-66.974435549638656</v>
      </c>
      <c r="T7" s="342">
        <v>663.54421342885746</v>
      </c>
      <c r="U7" s="342">
        <f>SUM(S7:T7)</f>
        <v>596.5697778792188</v>
      </c>
      <c r="V7" s="343">
        <f>IF(Q7&gt;0,(1+(T7/Q7))^(1/($C$6-$B$6))-1,0)</f>
        <v>2.4467258768423816E-2</v>
      </c>
      <c r="W7" s="343"/>
      <c r="X7" s="10" t="str">
        <f>name!A4</f>
        <v>Agriculture, etc</v>
      </c>
      <c r="Y7" s="10">
        <v>239.69399999875475</v>
      </c>
      <c r="Z7" s="10">
        <v>249.14899999809109</v>
      </c>
      <c r="AA7" s="342">
        <f>Z7-Y7</f>
        <v>9.4549999993363372</v>
      </c>
      <c r="AB7" s="10">
        <v>124.21265653566164</v>
      </c>
      <c r="AC7" s="342">
        <f>SUM(AA7:AB7)</f>
        <v>133.66765653499797</v>
      </c>
      <c r="AD7" s="343">
        <f>IF(Y7&gt;0,(1+(AB7/Y7))^(1/($C$6-$B$6))-1,0)</f>
        <v>2.8226649729021114E-2</v>
      </c>
    </row>
    <row r="8" spans="1:30" x14ac:dyDescent="0.3">
      <c r="A8" s="10" t="str">
        <f>name!D5</f>
        <v>12 Other managers and proprietors</v>
      </c>
      <c r="B8" s="11">
        <f t="shared" si="4"/>
        <v>997.0998793537575</v>
      </c>
      <c r="C8" s="11">
        <f t="shared" si="4"/>
        <v>1429.4676888704516</v>
      </c>
      <c r="D8" s="11">
        <f t="shared" si="4"/>
        <v>432.36780951669402</v>
      </c>
      <c r="E8" s="11">
        <f t="shared" si="4"/>
        <v>721.32469482830038</v>
      </c>
      <c r="F8" s="11">
        <f t="shared" si="4"/>
        <v>1153.6925043449946</v>
      </c>
      <c r="G8" s="200">
        <f>IF(B8&gt;0,(1+(E8/B8))^(1/($C$6-$B$6))-1,0)</f>
        <v>3.6953911302173514E-2</v>
      </c>
      <c r="H8" s="11"/>
      <c r="I8" s="10" t="str">
        <f>name!E4</f>
        <v>Managers, directors and senior officials</v>
      </c>
      <c r="J8" s="11">
        <f t="array" ref="J8:J16">MMULT(aggregation!$B$38:$AA$46,B7:B32)</f>
        <v>3297.9630650025706</v>
      </c>
      <c r="K8" s="11">
        <f t="array" ref="K8:K16">MMULT(aggregation!$B$38:$AA$46,C7:C32)</f>
        <v>3797.1617057796625</v>
      </c>
      <c r="L8" s="11">
        <f t="array" ref="L8:L16">MMULT(aggregation!$B$38:$AA$46,D7:D32)</f>
        <v>499.19864077709116</v>
      </c>
      <c r="M8" s="11">
        <f t="array" ref="M8:M16">MMULT(aggregation!$B$38:$AA$46,E7:E32)</f>
        <v>1871.1338239904176</v>
      </c>
      <c r="N8" s="11">
        <f t="array" ref="N8:N16">MMULT(aggregation!$B$38:$AA$46,F7:F32)</f>
        <v>2370.332464767509</v>
      </c>
      <c r="O8" s="11"/>
      <c r="P8" s="10" t="str">
        <f>name!D5</f>
        <v>12 Other managers and proprietors</v>
      </c>
      <c r="Q8" s="11">
        <v>581.07454147176304</v>
      </c>
      <c r="R8" s="11">
        <v>849.86568197048359</v>
      </c>
      <c r="S8" s="342">
        <f t="shared" ref="S8:S31" si="5">R8-Q8</f>
        <v>268.79114049872055</v>
      </c>
      <c r="T8" s="342">
        <v>387.3949605611063</v>
      </c>
      <c r="U8" s="342">
        <f t="shared" ref="U8:U31" si="6">SUM(S8:T8)</f>
        <v>656.1861010598268</v>
      </c>
      <c r="V8" s="343">
        <f t="shared" ref="V8:V33" si="7">IF(Q8&gt;0,(1+(T8/Q8))^(1/($C$6-$B$6))-1,0)</f>
        <v>3.4642403359955942E-2</v>
      </c>
      <c r="W8" s="343"/>
      <c r="X8" s="10" t="str">
        <f>name!A5</f>
        <v>Coal, oil &amp; gas; Mining &amp; related</v>
      </c>
      <c r="Y8" s="10">
        <v>24.505999999997869</v>
      </c>
      <c r="Z8" s="10">
        <v>14.698000000043045</v>
      </c>
      <c r="AA8" s="342">
        <f t="shared" ref="AA8:AA71" si="8">Z8-Y8</f>
        <v>-9.8079999999548235</v>
      </c>
      <c r="AB8" s="10">
        <v>7.7094686613056673</v>
      </c>
      <c r="AC8" s="342">
        <f t="shared" ref="AC8:AC71" si="9">SUM(AA8:AB8)</f>
        <v>-2.0985313386491562</v>
      </c>
      <c r="AD8" s="343">
        <f t="shared" ref="AD8:AD71" si="10">IF(Y8&gt;0,(1+(AB8/Y8))^(1/($C$6-$B$6))-1,0)</f>
        <v>1.8402527058424489E-2</v>
      </c>
    </row>
    <row r="9" spans="1:30" x14ac:dyDescent="0.3">
      <c r="A9" s="10" t="str">
        <f>name!D6</f>
        <v>21 Science, research, engineering and technology professionals</v>
      </c>
      <c r="B9" s="11">
        <f t="shared" si="4"/>
        <v>1898.9978151049086</v>
      </c>
      <c r="C9" s="11">
        <f t="shared" si="4"/>
        <v>2241.4331785640352</v>
      </c>
      <c r="D9" s="11">
        <f t="shared" si="4"/>
        <v>342.43536345912679</v>
      </c>
      <c r="E9" s="11">
        <f t="shared" si="4"/>
        <v>782.49558601007584</v>
      </c>
      <c r="F9" s="11">
        <f t="shared" si="4"/>
        <v>1124.9309494692027</v>
      </c>
      <c r="G9" s="200">
        <f t="shared" ref="G9:G33" si="11">IF(B9&gt;0,(1+(E9/B9))^(1/($C$6-$B$6))-1,0)</f>
        <v>2.3269786531646686E-2</v>
      </c>
      <c r="H9" s="11"/>
      <c r="I9" s="10" t="str">
        <f>name!E5</f>
        <v>Professional occupations</v>
      </c>
      <c r="J9" s="11">
        <v>7042.9080467763561</v>
      </c>
      <c r="K9" s="11">
        <v>8412.6838694339949</v>
      </c>
      <c r="L9" s="11">
        <v>1369.7758226576393</v>
      </c>
      <c r="M9" s="11">
        <v>3653.642575551803</v>
      </c>
      <c r="N9" s="11">
        <v>5023.4183982094428</v>
      </c>
      <c r="O9" s="11"/>
      <c r="P9" s="10" t="str">
        <f>name!D6</f>
        <v>21 Science, research, engineering and technology professionals</v>
      </c>
      <c r="Q9" s="11">
        <v>1457.6517402402742</v>
      </c>
      <c r="R9" s="11">
        <v>1619.0496933815643</v>
      </c>
      <c r="S9" s="342">
        <f t="shared" si="5"/>
        <v>161.39795314129015</v>
      </c>
      <c r="T9" s="342">
        <v>503.27001623591866</v>
      </c>
      <c r="U9" s="342">
        <f t="shared" si="6"/>
        <v>664.66796937720881</v>
      </c>
      <c r="V9" s="343">
        <f t="shared" si="7"/>
        <v>1.9969298013411185E-2</v>
      </c>
      <c r="W9" s="343"/>
      <c r="X9" s="10" t="str">
        <f>name!A6</f>
        <v>Food products</v>
      </c>
      <c r="Y9" s="10">
        <v>332.29400000037344</v>
      </c>
      <c r="Z9" s="10">
        <v>328.04799999954008</v>
      </c>
      <c r="AA9" s="342">
        <f t="shared" si="8"/>
        <v>-4.2460000008333623</v>
      </c>
      <c r="AB9" s="10">
        <v>146.61534503100864</v>
      </c>
      <c r="AC9" s="342">
        <f t="shared" si="9"/>
        <v>142.36934503017528</v>
      </c>
      <c r="AD9" s="343">
        <f t="shared" si="10"/>
        <v>2.466535883368981E-2</v>
      </c>
    </row>
    <row r="10" spans="1:30" x14ac:dyDescent="0.3">
      <c r="A10" s="10" t="str">
        <f>name!D7</f>
        <v>22 Health professionals</v>
      </c>
      <c r="B10" s="11">
        <f t="shared" si="4"/>
        <v>1353.7379872555541</v>
      </c>
      <c r="C10" s="11">
        <f t="shared" si="4"/>
        <v>1588.4343307583779</v>
      </c>
      <c r="D10" s="11">
        <f t="shared" si="4"/>
        <v>234.69634350282365</v>
      </c>
      <c r="E10" s="11">
        <f t="shared" si="4"/>
        <v>790.7016601658745</v>
      </c>
      <c r="F10" s="11">
        <f t="shared" si="4"/>
        <v>1025.3980036686983</v>
      </c>
      <c r="G10" s="200">
        <f t="shared" si="11"/>
        <v>3.1142326346778271E-2</v>
      </c>
      <c r="H10" s="11"/>
      <c r="I10" s="10" t="str">
        <f>name!E6</f>
        <v>Associate professional occupations</v>
      </c>
      <c r="J10" s="11">
        <v>4152.3256176523755</v>
      </c>
      <c r="K10" s="11">
        <v>4393.8811791663084</v>
      </c>
      <c r="L10" s="11">
        <v>241.55556151393267</v>
      </c>
      <c r="M10" s="11">
        <v>1930.848582645353</v>
      </c>
      <c r="N10" s="11">
        <v>2172.4041441592858</v>
      </c>
      <c r="O10" s="11"/>
      <c r="P10" s="10" t="str">
        <f>name!D7</f>
        <v>22 Health professionals</v>
      </c>
      <c r="Q10" s="11">
        <v>362.46900566429906</v>
      </c>
      <c r="R10" s="11">
        <v>420.52992829177492</v>
      </c>
      <c r="S10" s="342">
        <f t="shared" si="5"/>
        <v>58.060922627475861</v>
      </c>
      <c r="T10" s="342">
        <v>150.4671518671791</v>
      </c>
      <c r="U10" s="342">
        <f t="shared" si="6"/>
        <v>208.52807449465496</v>
      </c>
      <c r="V10" s="343">
        <f t="shared" si="7"/>
        <v>2.3417476977104057E-2</v>
      </c>
      <c r="W10" s="343"/>
      <c r="X10" s="10" t="str">
        <f>name!A7</f>
        <v>Beverages and tobacco</v>
      </c>
      <c r="Y10" s="10">
        <v>35.014999999898542</v>
      </c>
      <c r="Z10" s="10">
        <v>34.044999999879785</v>
      </c>
      <c r="AA10" s="342">
        <f t="shared" si="8"/>
        <v>-0.97000000001875719</v>
      </c>
      <c r="AB10" s="10">
        <v>15.67306024865675</v>
      </c>
      <c r="AC10" s="342">
        <f t="shared" si="9"/>
        <v>14.703060248637993</v>
      </c>
      <c r="AD10" s="343">
        <f t="shared" si="10"/>
        <v>2.4967518595866878E-2</v>
      </c>
    </row>
    <row r="11" spans="1:30" x14ac:dyDescent="0.3">
      <c r="A11" s="10" t="str">
        <f>name!D8</f>
        <v>23 Teaching and other educational professionals</v>
      </c>
      <c r="B11" s="11">
        <f t="shared" si="4"/>
        <v>1500.5047473431282</v>
      </c>
      <c r="C11" s="11">
        <f t="shared" si="4"/>
        <v>1699.3396854728526</v>
      </c>
      <c r="D11" s="11">
        <f t="shared" si="4"/>
        <v>198.83493812972466</v>
      </c>
      <c r="E11" s="11">
        <f t="shared" si="4"/>
        <v>814.34952148297498</v>
      </c>
      <c r="F11" s="11">
        <f t="shared" si="4"/>
        <v>1013.1844596126992</v>
      </c>
      <c r="G11" s="200">
        <f t="shared" si="11"/>
        <v>2.9324757826664882E-2</v>
      </c>
      <c r="H11" s="11"/>
      <c r="I11" s="10" t="str">
        <f>name!E7</f>
        <v>Administrative and secretarial occupations</v>
      </c>
      <c r="J11" s="11">
        <v>3147.0303376748784</v>
      </c>
      <c r="K11" s="11">
        <v>2720.1220560833967</v>
      </c>
      <c r="L11" s="11">
        <v>-426.90828159148185</v>
      </c>
      <c r="M11" s="11">
        <v>1465.5565396755901</v>
      </c>
      <c r="N11" s="11">
        <v>1038.6482580841084</v>
      </c>
      <c r="O11" s="11"/>
      <c r="P11" s="10" t="str">
        <f>name!D8</f>
        <v>23 Teaching and other educational professionals</v>
      </c>
      <c r="Q11" s="11">
        <v>488.66186759089578</v>
      </c>
      <c r="R11" s="11">
        <v>564.79643396783615</v>
      </c>
      <c r="S11" s="342">
        <f t="shared" si="5"/>
        <v>76.13456637694037</v>
      </c>
      <c r="T11" s="342">
        <v>227.93090651976388</v>
      </c>
      <c r="U11" s="342">
        <f t="shared" si="6"/>
        <v>304.06547289670425</v>
      </c>
      <c r="V11" s="343">
        <f t="shared" si="7"/>
        <v>2.5850949925203537E-2</v>
      </c>
      <c r="W11" s="343"/>
      <c r="X11" s="10" t="str">
        <f>name!A8</f>
        <v>Textiles</v>
      </c>
      <c r="Y11" s="10">
        <v>56.821000000001895</v>
      </c>
      <c r="Z11" s="10">
        <v>42.984000000067603</v>
      </c>
      <c r="AA11" s="342">
        <f t="shared" si="8"/>
        <v>-13.836999999934292</v>
      </c>
      <c r="AB11" s="10">
        <v>21.948921476596993</v>
      </c>
      <c r="AC11" s="342">
        <f t="shared" si="9"/>
        <v>8.111921476662701</v>
      </c>
      <c r="AD11" s="343">
        <f t="shared" si="10"/>
        <v>2.2013821922249877E-2</v>
      </c>
    </row>
    <row r="12" spans="1:30" x14ac:dyDescent="0.3">
      <c r="A12" s="10" t="str">
        <f>name!D9</f>
        <v>24 Business, media and public service professionals</v>
      </c>
      <c r="B12" s="11">
        <f t="shared" si="4"/>
        <v>2289.6674970727654</v>
      </c>
      <c r="C12" s="11">
        <f t="shared" si="4"/>
        <v>2883.4766746387299</v>
      </c>
      <c r="D12" s="11">
        <f t="shared" si="4"/>
        <v>593.80917756596421</v>
      </c>
      <c r="E12" s="11">
        <f t="shared" si="4"/>
        <v>1266.0958078928777</v>
      </c>
      <c r="F12" s="11">
        <f t="shared" si="4"/>
        <v>1859.9049854588422</v>
      </c>
      <c r="G12" s="200">
        <f t="shared" si="11"/>
        <v>2.9778993295944467E-2</v>
      </c>
      <c r="H12" s="11"/>
      <c r="I12" s="10" t="str">
        <f>name!E8</f>
        <v>Skilled trades occupations</v>
      </c>
      <c r="J12" s="11">
        <v>2510.278247595365</v>
      </c>
      <c r="K12" s="11">
        <v>2494.1382265499915</v>
      </c>
      <c r="L12" s="11">
        <v>-16.140021045373661</v>
      </c>
      <c r="M12" s="11">
        <v>1077.9783272987311</v>
      </c>
      <c r="N12" s="11">
        <v>1061.8383062533574</v>
      </c>
      <c r="O12" s="11"/>
      <c r="P12" s="10" t="str">
        <f>name!D9</f>
        <v>24 Business, media and public service professionals</v>
      </c>
      <c r="Q12" s="11">
        <v>1269.4975134502063</v>
      </c>
      <c r="R12" s="11">
        <v>1563.3594353607639</v>
      </c>
      <c r="S12" s="342">
        <f t="shared" si="5"/>
        <v>293.86192191055761</v>
      </c>
      <c r="T12" s="342">
        <v>616.20033337880659</v>
      </c>
      <c r="U12" s="342">
        <f t="shared" si="6"/>
        <v>910.0622552893642</v>
      </c>
      <c r="V12" s="343">
        <f t="shared" si="7"/>
        <v>2.6729444096753152E-2</v>
      </c>
      <c r="W12" s="343"/>
      <c r="X12" s="10" t="str">
        <f>name!A9</f>
        <v>Wearing apparel; Leather, etc</v>
      </c>
      <c r="Y12" s="10">
        <v>49.279000000009653</v>
      </c>
      <c r="Z12" s="10">
        <v>37.630000000085346</v>
      </c>
      <c r="AA12" s="342">
        <f t="shared" si="8"/>
        <v>-11.648999999924307</v>
      </c>
      <c r="AB12" s="10">
        <v>20.418061905263293</v>
      </c>
      <c r="AC12" s="342">
        <f t="shared" si="9"/>
        <v>8.7690619053389867</v>
      </c>
      <c r="AD12" s="343">
        <f t="shared" si="10"/>
        <v>2.3379796631928906E-2</v>
      </c>
    </row>
    <row r="13" spans="1:30" x14ac:dyDescent="0.3">
      <c r="A13" s="10" t="str">
        <f>name!D10</f>
        <v>31 Science, engineering and technology associate professionals</v>
      </c>
      <c r="B13" s="11">
        <f t="shared" si="4"/>
        <v>591.71409062761006</v>
      </c>
      <c r="C13" s="11">
        <f t="shared" si="4"/>
        <v>561.4048795892611</v>
      </c>
      <c r="D13" s="11">
        <f t="shared" si="4"/>
        <v>-30.309211038348771</v>
      </c>
      <c r="E13" s="11">
        <f t="shared" si="4"/>
        <v>223.09874479454081</v>
      </c>
      <c r="F13" s="11">
        <f t="shared" si="4"/>
        <v>192.78953375619201</v>
      </c>
      <c r="G13" s="200">
        <f t="shared" si="11"/>
        <v>2.1558080378080824E-2</v>
      </c>
      <c r="H13" s="11"/>
      <c r="I13" s="10" t="str">
        <f>name!E9</f>
        <v>Caring, leisure and other service occupations</v>
      </c>
      <c r="J13" s="11">
        <v>2683.1938804533897</v>
      </c>
      <c r="K13" s="11">
        <v>3104.1211527286241</v>
      </c>
      <c r="L13" s="11">
        <v>420.9272722752346</v>
      </c>
      <c r="M13" s="11">
        <v>1601.4027177290989</v>
      </c>
      <c r="N13" s="11">
        <v>2022.329990004333</v>
      </c>
      <c r="O13" s="11"/>
      <c r="P13" s="10" t="str">
        <f>name!D10</f>
        <v>31 Science, engineering and technology associate professionals</v>
      </c>
      <c r="Q13" s="11">
        <v>425.45347934567582</v>
      </c>
      <c r="R13" s="11">
        <v>357.29156698295992</v>
      </c>
      <c r="S13" s="342">
        <f t="shared" si="5"/>
        <v>-68.161912362715896</v>
      </c>
      <c r="T13" s="342">
        <v>131.12152415538122</v>
      </c>
      <c r="U13" s="342">
        <f t="shared" si="6"/>
        <v>62.959611792665328</v>
      </c>
      <c r="V13" s="343">
        <f t="shared" si="7"/>
        <v>1.8071096656536945E-2</v>
      </c>
      <c r="W13" s="343"/>
      <c r="X13" s="10" t="str">
        <f>name!A10</f>
        <v xml:space="preserve">Wood and cork </v>
      </c>
      <c r="Y13" s="10">
        <v>76.711999999891944</v>
      </c>
      <c r="Z13" s="10">
        <v>73.501999999887445</v>
      </c>
      <c r="AA13" s="342">
        <f t="shared" si="8"/>
        <v>-3.2100000000044986</v>
      </c>
      <c r="AB13" s="10">
        <v>32.325679069583273</v>
      </c>
      <c r="AC13" s="342">
        <f t="shared" si="9"/>
        <v>29.115679069578775</v>
      </c>
      <c r="AD13" s="343">
        <f t="shared" si="10"/>
        <v>2.3719288602562116E-2</v>
      </c>
    </row>
    <row r="14" spans="1:30" x14ac:dyDescent="0.3">
      <c r="A14" s="10" t="str">
        <f>name!D11</f>
        <v>32 Health and social care associate professionals</v>
      </c>
      <c r="B14" s="11">
        <f t="shared" si="4"/>
        <v>568.76339753397031</v>
      </c>
      <c r="C14" s="11">
        <f t="shared" si="4"/>
        <v>632.02415358167184</v>
      </c>
      <c r="D14" s="11">
        <f t="shared" si="4"/>
        <v>63.26075604770152</v>
      </c>
      <c r="E14" s="11">
        <f t="shared" si="4"/>
        <v>339.50782833409841</v>
      </c>
      <c r="F14" s="11">
        <f t="shared" si="4"/>
        <v>402.76858438179988</v>
      </c>
      <c r="G14" s="200">
        <f t="shared" si="11"/>
        <v>3.1697221838275169E-2</v>
      </c>
      <c r="H14" s="11"/>
      <c r="I14" s="10" t="str">
        <f>name!E10</f>
        <v>Sales and customer service occupations</v>
      </c>
      <c r="J14" s="11">
        <v>2362.3332816348434</v>
      </c>
      <c r="K14" s="11">
        <v>2388.7952867984595</v>
      </c>
      <c r="L14" s="11">
        <v>26.462005163615856</v>
      </c>
      <c r="M14" s="11">
        <v>1092.5052555225136</v>
      </c>
      <c r="N14" s="11">
        <v>1118.9672606861295</v>
      </c>
      <c r="O14" s="11"/>
      <c r="P14" s="10" t="str">
        <f>name!D11</f>
        <v>32 Health and social care associate professionals</v>
      </c>
      <c r="Q14" s="11">
        <v>129.88613167068607</v>
      </c>
      <c r="R14" s="11">
        <v>125.92776715752774</v>
      </c>
      <c r="S14" s="342">
        <f t="shared" si="5"/>
        <v>-3.9583645131583296</v>
      </c>
      <c r="T14" s="342">
        <v>57.914248133760076</v>
      </c>
      <c r="U14" s="342">
        <f t="shared" si="6"/>
        <v>53.955883620601746</v>
      </c>
      <c r="V14" s="343">
        <f t="shared" si="7"/>
        <v>2.4886043002237068E-2</v>
      </c>
      <c r="W14" s="343"/>
      <c r="X14" s="10" t="str">
        <f>name!A11</f>
        <v>Paper, etc</v>
      </c>
      <c r="Y14" s="10">
        <v>41.400000000073113</v>
      </c>
      <c r="Z14" s="10">
        <v>39.809000000122701</v>
      </c>
      <c r="AA14" s="342">
        <f t="shared" si="8"/>
        <v>-1.5909999999504123</v>
      </c>
      <c r="AB14" s="10">
        <v>16.690516067162747</v>
      </c>
      <c r="AC14" s="342">
        <f t="shared" si="9"/>
        <v>15.099516067212335</v>
      </c>
      <c r="AD14" s="343">
        <f t="shared" si="10"/>
        <v>2.2838326297839995E-2</v>
      </c>
    </row>
    <row r="15" spans="1:30" x14ac:dyDescent="0.3">
      <c r="A15" s="10" t="str">
        <f>name!D12</f>
        <v>33 Protective service occupations</v>
      </c>
      <c r="B15" s="11">
        <f t="shared" si="4"/>
        <v>321.6947382618946</v>
      </c>
      <c r="C15" s="11">
        <f t="shared" si="4"/>
        <v>442.14672512900478</v>
      </c>
      <c r="D15" s="11">
        <f t="shared" si="4"/>
        <v>120.45198686711014</v>
      </c>
      <c r="E15" s="11">
        <f t="shared" si="4"/>
        <v>136.87264302037391</v>
      </c>
      <c r="F15" s="11">
        <f t="shared" si="4"/>
        <v>257.32462988748404</v>
      </c>
      <c r="G15" s="200">
        <f t="shared" si="11"/>
        <v>2.3915097797698515E-2</v>
      </c>
      <c r="H15" s="11"/>
      <c r="I15" s="10" t="str">
        <f>name!E11</f>
        <v>Process, plant and machine operatives</v>
      </c>
      <c r="J15" s="11">
        <v>1662.1375442945018</v>
      </c>
      <c r="K15" s="11">
        <v>1852.0872704524231</v>
      </c>
      <c r="L15" s="11">
        <v>189.94972615792119</v>
      </c>
      <c r="M15" s="11">
        <v>874.97904729505706</v>
      </c>
      <c r="N15" s="11">
        <v>1064.928773452978</v>
      </c>
      <c r="O15" s="11"/>
      <c r="P15" s="10" t="str">
        <f>name!D12</f>
        <v>33 Protective service occupations</v>
      </c>
      <c r="Q15" s="11">
        <v>240.01153300204598</v>
      </c>
      <c r="R15" s="11">
        <v>297.39809617999998</v>
      </c>
      <c r="S15" s="342">
        <f t="shared" si="5"/>
        <v>57.386563177954002</v>
      </c>
      <c r="T15" s="342">
        <v>78.880094479024734</v>
      </c>
      <c r="U15" s="342">
        <f t="shared" si="6"/>
        <v>136.26665765697874</v>
      </c>
      <c r="V15" s="343">
        <f t="shared" si="7"/>
        <v>1.9124871109477137E-2</v>
      </c>
      <c r="W15" s="343"/>
      <c r="X15" s="10" t="str">
        <f>name!A12</f>
        <v>Printing and recording</v>
      </c>
      <c r="Y15" s="10">
        <v>80.943999999925666</v>
      </c>
      <c r="Z15" s="10">
        <v>63.367000000175253</v>
      </c>
      <c r="AA15" s="342">
        <f t="shared" si="8"/>
        <v>-17.576999999750413</v>
      </c>
      <c r="AB15" s="10">
        <v>32.09331037403345</v>
      </c>
      <c r="AC15" s="342">
        <f t="shared" si="9"/>
        <v>14.516310374283037</v>
      </c>
      <c r="AD15" s="343">
        <f t="shared" si="10"/>
        <v>2.2513718834407337E-2</v>
      </c>
    </row>
    <row r="16" spans="1:30" x14ac:dyDescent="0.3">
      <c r="A16" s="10" t="str">
        <f>name!D13</f>
        <v>34 Culture, media and sports occupations</v>
      </c>
      <c r="B16" s="11">
        <f t="shared" si="4"/>
        <v>678.67489071769353</v>
      </c>
      <c r="C16" s="11">
        <f t="shared" si="4"/>
        <v>746.44958201402608</v>
      </c>
      <c r="D16" s="11">
        <f t="shared" si="4"/>
        <v>67.774691296332605</v>
      </c>
      <c r="E16" s="11">
        <f t="shared" si="4"/>
        <v>325.91396210895095</v>
      </c>
      <c r="F16" s="11">
        <f t="shared" si="4"/>
        <v>393.68865340528362</v>
      </c>
      <c r="G16" s="200">
        <f t="shared" si="11"/>
        <v>2.6490902929612758E-2</v>
      </c>
      <c r="H16" s="11"/>
      <c r="I16" s="10" t="str">
        <f>name!E12</f>
        <v>Elementary occupations</v>
      </c>
      <c r="J16" s="11">
        <v>3001.5109789107487</v>
      </c>
      <c r="K16" s="11">
        <v>2907.1002530060464</v>
      </c>
      <c r="L16" s="11">
        <v>-94.410725904702559</v>
      </c>
      <c r="M16" s="11">
        <v>1420.0760573395498</v>
      </c>
      <c r="N16" s="11">
        <v>1325.6653314348473</v>
      </c>
      <c r="O16" s="11"/>
      <c r="P16" s="10" t="str">
        <f>name!D13</f>
        <v>34 Culture, media and sports occupations</v>
      </c>
      <c r="Q16" s="11">
        <v>349.86571390066342</v>
      </c>
      <c r="R16" s="11">
        <v>386.57977765691373</v>
      </c>
      <c r="S16" s="342">
        <f t="shared" si="5"/>
        <v>36.714063756250312</v>
      </c>
      <c r="T16" s="342">
        <v>145.79035361459569</v>
      </c>
      <c r="U16" s="342">
        <f t="shared" si="6"/>
        <v>182.504417370846</v>
      </c>
      <c r="V16" s="343">
        <f t="shared" si="7"/>
        <v>2.3493925603913501E-2</v>
      </c>
      <c r="W16" s="343"/>
      <c r="X16" s="10" t="str">
        <f>name!A13</f>
        <v>Coke and petroleum; Chemicals, etc</v>
      </c>
      <c r="Y16" s="10">
        <v>95.042999999648146</v>
      </c>
      <c r="Z16" s="10">
        <v>81.697000000031835</v>
      </c>
      <c r="AA16" s="342">
        <f t="shared" si="8"/>
        <v>-13.345999999616311</v>
      </c>
      <c r="AB16" s="10">
        <v>37.979551125695735</v>
      </c>
      <c r="AC16" s="342">
        <f t="shared" si="9"/>
        <v>24.633551126079425</v>
      </c>
      <c r="AD16" s="343">
        <f t="shared" si="10"/>
        <v>2.2665666353216762E-2</v>
      </c>
    </row>
    <row r="17" spans="1:30" x14ac:dyDescent="0.3">
      <c r="A17" s="10" t="str">
        <f>name!D14</f>
        <v>35 Business and public service associate professionals</v>
      </c>
      <c r="B17" s="11">
        <f t="shared" ref="B17:F26" si="12">SUM(B46,B75,B104,B133,B162,B191,B220,B249,B278)</f>
        <v>1991.4785005112074</v>
      </c>
      <c r="C17" s="11">
        <f t="shared" si="12"/>
        <v>2011.8558388523443</v>
      </c>
      <c r="D17" s="11">
        <f t="shared" si="12"/>
        <v>20.37733834113719</v>
      </c>
      <c r="E17" s="11">
        <f t="shared" si="12"/>
        <v>905.45540438738897</v>
      </c>
      <c r="F17" s="11">
        <f t="shared" si="12"/>
        <v>925.83274272852634</v>
      </c>
      <c r="G17" s="200">
        <f t="shared" si="11"/>
        <v>2.5299780254092408E-2</v>
      </c>
      <c r="H17" s="11"/>
      <c r="O17" s="11"/>
      <c r="P17" s="10" t="str">
        <f>name!D14</f>
        <v>35 Business and public service associate professionals</v>
      </c>
      <c r="Q17" s="11">
        <v>1052.4349280010256</v>
      </c>
      <c r="R17" s="11">
        <v>986.77342770073051</v>
      </c>
      <c r="S17" s="342">
        <f t="shared" si="5"/>
        <v>-65.661500300295074</v>
      </c>
      <c r="T17" s="342">
        <v>384.45348145942421</v>
      </c>
      <c r="U17" s="342">
        <f t="shared" si="6"/>
        <v>318.79198115912914</v>
      </c>
      <c r="V17" s="343">
        <f t="shared" si="7"/>
        <v>2.0975183371632067E-2</v>
      </c>
      <c r="W17" s="343"/>
      <c r="X17" s="10" t="str">
        <f>name!A14</f>
        <v>Pharmaceuticals</v>
      </c>
      <c r="Y17" s="10">
        <v>40.486999999836371</v>
      </c>
      <c r="Z17" s="10">
        <v>42.416000000085241</v>
      </c>
      <c r="AA17" s="342">
        <f t="shared" si="8"/>
        <v>1.9290000002488696</v>
      </c>
      <c r="AB17" s="10">
        <v>19.027480067149121</v>
      </c>
      <c r="AC17" s="342">
        <f t="shared" si="9"/>
        <v>20.95648006739799</v>
      </c>
      <c r="AD17" s="343">
        <f t="shared" si="10"/>
        <v>2.6015219746189588E-2</v>
      </c>
    </row>
    <row r="18" spans="1:30" x14ac:dyDescent="0.3">
      <c r="A18" s="10" t="str">
        <f>name!D15</f>
        <v>41 Administrative occupations</v>
      </c>
      <c r="B18" s="11">
        <f t="shared" si="12"/>
        <v>2574.3940918238973</v>
      </c>
      <c r="C18" s="11">
        <f t="shared" si="12"/>
        <v>2246.6551666385849</v>
      </c>
      <c r="D18" s="11">
        <f t="shared" si="12"/>
        <v>-327.73892518531272</v>
      </c>
      <c r="E18" s="11">
        <f t="shared" si="12"/>
        <v>1171.3031330190847</v>
      </c>
      <c r="F18" s="11">
        <f t="shared" si="12"/>
        <v>843.56420783377212</v>
      </c>
      <c r="G18" s="200">
        <f t="shared" si="11"/>
        <v>2.5314681157680763E-2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821.77107881001939</v>
      </c>
      <c r="R18" s="11">
        <v>845.4746752433706</v>
      </c>
      <c r="S18" s="342">
        <f t="shared" si="5"/>
        <v>23.703596433351208</v>
      </c>
      <c r="T18" s="342">
        <v>301.70852589100224</v>
      </c>
      <c r="U18" s="342">
        <f t="shared" si="6"/>
        <v>325.41212232435345</v>
      </c>
      <c r="V18" s="343">
        <f t="shared" si="7"/>
        <v>2.1067115056003116E-2</v>
      </c>
      <c r="W18" s="343"/>
      <c r="X18" s="10" t="str">
        <f>name!A15</f>
        <v>Rubber and plastic</v>
      </c>
      <c r="Y18" s="10">
        <v>156.97699999981793</v>
      </c>
      <c r="Z18" s="10">
        <v>137.66700000001663</v>
      </c>
      <c r="AA18" s="342">
        <f t="shared" si="8"/>
        <v>-19.309999999801306</v>
      </c>
      <c r="AB18" s="10">
        <v>63.232489313706658</v>
      </c>
      <c r="AC18" s="342">
        <f t="shared" si="9"/>
        <v>43.922489313905352</v>
      </c>
      <c r="AD18" s="343">
        <f t="shared" si="10"/>
        <v>2.2821857681158075E-2</v>
      </c>
    </row>
    <row r="19" spans="1:30" x14ac:dyDescent="0.3">
      <c r="A19" s="10" t="str">
        <f>name!D16</f>
        <v>42 Secretarial and related occupations</v>
      </c>
      <c r="B19" s="11">
        <f t="shared" si="12"/>
        <v>572.63624585098114</v>
      </c>
      <c r="C19" s="11">
        <f t="shared" si="12"/>
        <v>473.46688944481201</v>
      </c>
      <c r="D19" s="11">
        <f t="shared" si="12"/>
        <v>-99.169356406169129</v>
      </c>
      <c r="E19" s="11">
        <f t="shared" si="12"/>
        <v>294.25340665650538</v>
      </c>
      <c r="F19" s="11">
        <f t="shared" si="12"/>
        <v>195.08405025033622</v>
      </c>
      <c r="G19" s="200">
        <f t="shared" si="11"/>
        <v>2.8029709421916849E-2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53.755259577401773</v>
      </c>
      <c r="K19" s="11">
        <f t="array" ref="K19:K27">MMULT(aggregation!$B$38:$AA$46,C36:C61)</f>
        <v>107.72287597138049</v>
      </c>
      <c r="L19" s="11">
        <f t="array" ref="L19:L27">MMULT(aggregation!$B$38:$AA$46,D36:D61)</f>
        <v>53.967616393978716</v>
      </c>
      <c r="M19" s="11">
        <f t="array" ref="M19:M27">MMULT(aggregation!$B$38:$AA$46,E36:E61)</f>
        <v>45.173155634772144</v>
      </c>
      <c r="N19" s="11">
        <f t="array" ref="N19:N27">MMULT(aggregation!$B$38:$AA$46,F36:F61)</f>
        <v>99.14077202875086</v>
      </c>
      <c r="O19" s="11"/>
      <c r="P19" s="10" t="str">
        <f>name!D16</f>
        <v>42 Secretarial and related occupations</v>
      </c>
      <c r="Q19" s="11">
        <v>34.880414988977662</v>
      </c>
      <c r="R19" s="11">
        <v>55.142420484503241</v>
      </c>
      <c r="S19" s="342">
        <f t="shared" si="5"/>
        <v>20.262005495525578</v>
      </c>
      <c r="T19" s="342">
        <v>15.770166052731492</v>
      </c>
      <c r="U19" s="342">
        <f t="shared" si="6"/>
        <v>36.032171548257068</v>
      </c>
      <c r="V19" s="343">
        <f t="shared" si="7"/>
        <v>2.5180143648775744E-2</v>
      </c>
      <c r="W19" s="343"/>
      <c r="X19" s="10" t="str">
        <f>name!A16</f>
        <v>Other non-metallic</v>
      </c>
      <c r="Y19" s="10">
        <v>82.475999999961445</v>
      </c>
      <c r="Z19" s="10">
        <v>72.096999999928116</v>
      </c>
      <c r="AA19" s="342">
        <f t="shared" si="8"/>
        <v>-10.379000000033329</v>
      </c>
      <c r="AB19" s="10">
        <v>33.784442938229404</v>
      </c>
      <c r="AC19" s="342">
        <f t="shared" si="9"/>
        <v>23.405442938196074</v>
      </c>
      <c r="AD19" s="343">
        <f t="shared" si="10"/>
        <v>2.3152317330400241E-2</v>
      </c>
    </row>
    <row r="20" spans="1:30" x14ac:dyDescent="0.3">
      <c r="A20" s="10" t="str">
        <f>name!D17</f>
        <v>51 Skilled agricultural and related trades</v>
      </c>
      <c r="B20" s="11">
        <f t="shared" si="12"/>
        <v>271.23814466195341</v>
      </c>
      <c r="C20" s="11">
        <f t="shared" si="12"/>
        <v>309.33559436851777</v>
      </c>
      <c r="D20" s="11">
        <f t="shared" si="12"/>
        <v>38.097449706564397</v>
      </c>
      <c r="E20" s="11">
        <f t="shared" si="12"/>
        <v>161.91084247964207</v>
      </c>
      <c r="F20" s="11">
        <f t="shared" si="12"/>
        <v>200.00829218620646</v>
      </c>
      <c r="G20" s="200">
        <f t="shared" si="11"/>
        <v>3.1697637102364062E-2</v>
      </c>
      <c r="H20" s="11"/>
      <c r="I20" s="11" t="str">
        <f t="shared" si="13"/>
        <v>Professional occupations</v>
      </c>
      <c r="J20" s="11">
        <v>372.36659817873823</v>
      </c>
      <c r="K20" s="11">
        <v>625.90733270832527</v>
      </c>
      <c r="L20" s="11">
        <v>253.54073452958704</v>
      </c>
      <c r="M20" s="11">
        <v>238.90018432142696</v>
      </c>
      <c r="N20" s="11">
        <v>492.44091885101403</v>
      </c>
      <c r="O20" s="11"/>
      <c r="P20" s="10" t="str">
        <f>name!D17</f>
        <v>51 Skilled agricultural and related trades</v>
      </c>
      <c r="Q20" s="11">
        <v>216.4917872484462</v>
      </c>
      <c r="R20" s="11">
        <v>232.90152987381191</v>
      </c>
      <c r="S20" s="342">
        <f t="shared" si="5"/>
        <v>16.409742625365709</v>
      </c>
      <c r="T20" s="342">
        <v>116.22411615750489</v>
      </c>
      <c r="U20" s="342">
        <f t="shared" si="6"/>
        <v>132.63385878287062</v>
      </c>
      <c r="V20" s="343">
        <f t="shared" si="7"/>
        <v>2.9063423862398796E-2</v>
      </c>
      <c r="W20" s="343"/>
      <c r="X20" s="10" t="str">
        <f>name!A17</f>
        <v>Basic metals</v>
      </c>
      <c r="Y20" s="10">
        <v>48.218999999908121</v>
      </c>
      <c r="Z20" s="10">
        <v>41.264999999945047</v>
      </c>
      <c r="AA20" s="342">
        <f t="shared" si="8"/>
        <v>-6.9539999999630737</v>
      </c>
      <c r="AB20" s="10">
        <v>18.011474725789505</v>
      </c>
      <c r="AC20" s="342">
        <f t="shared" si="9"/>
        <v>11.057474725826431</v>
      </c>
      <c r="AD20" s="343">
        <f t="shared" si="10"/>
        <v>2.1384613581620249E-2</v>
      </c>
    </row>
    <row r="21" spans="1:30" x14ac:dyDescent="0.3">
      <c r="A21" s="10" t="str">
        <f>name!D18</f>
        <v>52 Skilled metal, electrical and electronic trades</v>
      </c>
      <c r="B21" s="11">
        <f t="shared" si="12"/>
        <v>926.35566763503584</v>
      </c>
      <c r="C21" s="11">
        <f t="shared" si="12"/>
        <v>872.67621532730175</v>
      </c>
      <c r="D21" s="11">
        <f t="shared" si="12"/>
        <v>-53.679452307734188</v>
      </c>
      <c r="E21" s="11">
        <f t="shared" si="12"/>
        <v>346.83126946211644</v>
      </c>
      <c r="F21" s="11">
        <f t="shared" si="12"/>
        <v>293.15181715438223</v>
      </c>
      <c r="G21" s="200">
        <f t="shared" si="11"/>
        <v>2.1427690921888898E-2</v>
      </c>
      <c r="H21" s="11"/>
      <c r="I21" s="11" t="str">
        <f t="shared" si="13"/>
        <v>Associate professional occupations</v>
      </c>
      <c r="J21" s="11">
        <v>56.917491396431714</v>
      </c>
      <c r="K21" s="11">
        <v>109.70213247644675</v>
      </c>
      <c r="L21" s="11">
        <v>52.784641080015035</v>
      </c>
      <c r="M21" s="11">
        <v>40.369736592303525</v>
      </c>
      <c r="N21" s="11">
        <v>93.154377672318574</v>
      </c>
      <c r="O21" s="11"/>
      <c r="P21" s="10" t="str">
        <f>name!D18</f>
        <v>52 Skilled metal, electrical and electronic trades</v>
      </c>
      <c r="Q21" s="11">
        <v>902.88263585794652</v>
      </c>
      <c r="R21" s="11">
        <v>805.40123660550387</v>
      </c>
      <c r="S21" s="342">
        <f t="shared" si="5"/>
        <v>-97.481399252442657</v>
      </c>
      <c r="T21" s="342">
        <v>315.64177351591667</v>
      </c>
      <c r="U21" s="342">
        <f t="shared" si="6"/>
        <v>218.16037426347401</v>
      </c>
      <c r="V21" s="343">
        <f t="shared" si="7"/>
        <v>2.0187964021554095E-2</v>
      </c>
      <c r="W21" s="343"/>
      <c r="X21" s="10" t="str">
        <f>name!A18</f>
        <v>Metal products</v>
      </c>
      <c r="Y21" s="10">
        <v>237.35899999948563</v>
      </c>
      <c r="Z21" s="10">
        <v>202.21799999991987</v>
      </c>
      <c r="AA21" s="342">
        <f t="shared" si="8"/>
        <v>-35.140999999565764</v>
      </c>
      <c r="AB21" s="10">
        <v>91.007779356702486</v>
      </c>
      <c r="AC21" s="342">
        <f t="shared" si="9"/>
        <v>55.866779357136721</v>
      </c>
      <c r="AD21" s="343">
        <f t="shared" si="10"/>
        <v>2.1872944252630644E-2</v>
      </c>
    </row>
    <row r="22" spans="1:30" x14ac:dyDescent="0.3">
      <c r="A22" s="10" t="str">
        <f>name!D19</f>
        <v>53 Skilled construction and building trades</v>
      </c>
      <c r="B22" s="11">
        <f t="shared" si="12"/>
        <v>767.57313691964339</v>
      </c>
      <c r="C22" s="11">
        <f t="shared" si="12"/>
        <v>763.22944153326523</v>
      </c>
      <c r="D22" s="11">
        <f t="shared" si="12"/>
        <v>-4.343695386378144</v>
      </c>
      <c r="E22" s="11">
        <f t="shared" si="12"/>
        <v>332.95345598554866</v>
      </c>
      <c r="F22" s="11">
        <f t="shared" si="12"/>
        <v>328.60976059917056</v>
      </c>
      <c r="G22" s="200">
        <f t="shared" si="11"/>
        <v>2.4311507107449781E-2</v>
      </c>
      <c r="H22" s="11"/>
      <c r="I22" s="11" t="str">
        <f t="shared" si="13"/>
        <v>Administrative and secretarial occupations</v>
      </c>
      <c r="J22" s="11">
        <v>17.997088928881752</v>
      </c>
      <c r="K22" s="11">
        <v>38.002891308140079</v>
      </c>
      <c r="L22" s="11">
        <v>20.005802379258331</v>
      </c>
      <c r="M22" s="11">
        <v>15.073749881602097</v>
      </c>
      <c r="N22" s="11">
        <v>35.079552260860424</v>
      </c>
      <c r="O22" s="11"/>
      <c r="P22" s="10" t="str">
        <f>name!D19</f>
        <v>53 Skilled construction and building trades</v>
      </c>
      <c r="Q22" s="11">
        <v>749.05260189348758</v>
      </c>
      <c r="R22" s="11">
        <v>738.35548474687459</v>
      </c>
      <c r="S22" s="342">
        <f t="shared" si="5"/>
        <v>-10.697117146612982</v>
      </c>
      <c r="T22" s="342">
        <v>321.17765926218067</v>
      </c>
      <c r="U22" s="342">
        <f t="shared" si="6"/>
        <v>310.48054211556769</v>
      </c>
      <c r="V22" s="343">
        <f t="shared" si="7"/>
        <v>2.4073183924513186E-2</v>
      </c>
      <c r="W22" s="343"/>
      <c r="X22" s="10" t="str">
        <f>name!A19</f>
        <v>Computer, etc</v>
      </c>
      <c r="Y22" s="10">
        <v>104.26599999968958</v>
      </c>
      <c r="Z22" s="10">
        <v>92.17800000011583</v>
      </c>
      <c r="AA22" s="342">
        <f t="shared" si="8"/>
        <v>-12.087999999573753</v>
      </c>
      <c r="AB22" s="10">
        <v>43.065291007610902</v>
      </c>
      <c r="AC22" s="342">
        <f t="shared" si="9"/>
        <v>30.977291008037149</v>
      </c>
      <c r="AD22" s="343">
        <f t="shared" si="10"/>
        <v>2.3316913146373519E-2</v>
      </c>
    </row>
    <row r="23" spans="1:30" x14ac:dyDescent="0.3">
      <c r="A23" s="10" t="str">
        <f>name!D20</f>
        <v>54 Textiles, printing and other skilled trades</v>
      </c>
      <c r="B23" s="11">
        <f t="shared" si="12"/>
        <v>545.11129837873239</v>
      </c>
      <c r="C23" s="11">
        <f t="shared" si="12"/>
        <v>548.89697532090668</v>
      </c>
      <c r="D23" s="11">
        <f t="shared" si="12"/>
        <v>3.7856769421742733</v>
      </c>
      <c r="E23" s="11">
        <f t="shared" si="12"/>
        <v>236.28275937142385</v>
      </c>
      <c r="F23" s="11">
        <f t="shared" si="12"/>
        <v>240.06843631359811</v>
      </c>
      <c r="G23" s="200">
        <f t="shared" si="11"/>
        <v>2.4296435445250175E-2</v>
      </c>
      <c r="H23" s="11"/>
      <c r="I23" s="11" t="str">
        <f t="shared" si="13"/>
        <v>Skilled trades occupations</v>
      </c>
      <c r="J23" s="11">
        <v>4.5399349541545764</v>
      </c>
      <c r="K23" s="11">
        <v>9.6480264923547274</v>
      </c>
      <c r="L23" s="11">
        <v>5.1080915382001528</v>
      </c>
      <c r="M23" s="11">
        <v>3.8021435516074114</v>
      </c>
      <c r="N23" s="11">
        <v>8.9102350898075642</v>
      </c>
      <c r="O23" s="11"/>
      <c r="P23" s="10" t="str">
        <f>name!D20</f>
        <v>54 Textiles, printing and other skilled trades</v>
      </c>
      <c r="Q23" s="11">
        <v>319.01820087382151</v>
      </c>
      <c r="R23" s="11">
        <v>317.25887537678119</v>
      </c>
      <c r="S23" s="342">
        <f t="shared" si="5"/>
        <v>-1.7593254970403223</v>
      </c>
      <c r="T23" s="342">
        <v>103.55204511900868</v>
      </c>
      <c r="U23" s="342">
        <f t="shared" si="6"/>
        <v>101.79271962196836</v>
      </c>
      <c r="V23" s="343">
        <f t="shared" si="7"/>
        <v>1.8917207907413136E-2</v>
      </c>
      <c r="W23" s="343"/>
      <c r="X23" s="10" t="str">
        <f>name!A20</f>
        <v>Electrical equipment</v>
      </c>
      <c r="Y23" s="10">
        <v>61.081999999842388</v>
      </c>
      <c r="Z23" s="10">
        <v>56.905000000014233</v>
      </c>
      <c r="AA23" s="342">
        <f t="shared" si="8"/>
        <v>-4.1769999998281548</v>
      </c>
      <c r="AB23" s="10">
        <v>25.866290864266105</v>
      </c>
      <c r="AC23" s="342">
        <f t="shared" si="9"/>
        <v>21.68929086443795</v>
      </c>
      <c r="AD23" s="343">
        <f t="shared" si="10"/>
        <v>2.3819004272483069E-2</v>
      </c>
    </row>
    <row r="24" spans="1:30" x14ac:dyDescent="0.3">
      <c r="A24" s="10" t="str">
        <f>name!D21</f>
        <v>61 Caring personal service occupations</v>
      </c>
      <c r="B24" s="11">
        <f t="shared" si="12"/>
        <v>2025.9844432664399</v>
      </c>
      <c r="C24" s="11">
        <f t="shared" si="12"/>
        <v>2414.2517515389809</v>
      </c>
      <c r="D24" s="11">
        <f t="shared" si="12"/>
        <v>388.26730827254107</v>
      </c>
      <c r="E24" s="11">
        <f t="shared" si="12"/>
        <v>1260.2642856311675</v>
      </c>
      <c r="F24" s="11">
        <f t="shared" si="12"/>
        <v>1648.5315939037084</v>
      </c>
      <c r="G24" s="200">
        <f t="shared" si="11"/>
        <v>3.2771603537990579E-2</v>
      </c>
      <c r="H24" s="11"/>
      <c r="I24" s="11" t="str">
        <f t="shared" si="13"/>
        <v>Caring, leisure and other service occupations</v>
      </c>
      <c r="J24" s="11">
        <v>3.0105849446399131</v>
      </c>
      <c r="K24" s="11">
        <v>7.4639077138087115</v>
      </c>
      <c r="L24" s="11">
        <v>4.453322769168798</v>
      </c>
      <c r="M24" s="11">
        <v>2.9252395139141067</v>
      </c>
      <c r="N24" s="11">
        <v>7.3785622830829052</v>
      </c>
      <c r="O24" s="11"/>
      <c r="P24" s="10" t="str">
        <f>name!D21</f>
        <v>61 Caring personal service occupations</v>
      </c>
      <c r="Q24" s="11">
        <v>312.97511016662554</v>
      </c>
      <c r="R24" s="11">
        <v>450.22291537054377</v>
      </c>
      <c r="S24" s="342">
        <f t="shared" si="5"/>
        <v>137.24780520391823</v>
      </c>
      <c r="T24" s="342">
        <v>178.13488658526296</v>
      </c>
      <c r="U24" s="342">
        <f t="shared" si="6"/>
        <v>315.38269178918119</v>
      </c>
      <c r="V24" s="343">
        <f t="shared" si="7"/>
        <v>3.0491937489278254E-2</v>
      </c>
      <c r="W24" s="343"/>
      <c r="X24" s="10" t="str">
        <f>name!A21</f>
        <v>Machinery n.e.c.</v>
      </c>
      <c r="Y24" s="10">
        <v>157.307999999549</v>
      </c>
      <c r="Z24" s="10">
        <v>141.09300000003151</v>
      </c>
      <c r="AA24" s="342">
        <f t="shared" si="8"/>
        <v>-16.214999999517488</v>
      </c>
      <c r="AB24" s="10">
        <v>63.745981761943241</v>
      </c>
      <c r="AC24" s="342">
        <f t="shared" si="9"/>
        <v>47.530981762425753</v>
      </c>
      <c r="AD24" s="343">
        <f t="shared" si="10"/>
        <v>2.2939232979986235E-2</v>
      </c>
    </row>
    <row r="25" spans="1:30" x14ac:dyDescent="0.3">
      <c r="A25" s="10" t="str">
        <f>name!D22</f>
        <v>62 Leisure, travel and related personal service occupations</v>
      </c>
      <c r="B25" s="11">
        <f t="shared" si="12"/>
        <v>625.4669737778903</v>
      </c>
      <c r="C25" s="11">
        <f t="shared" si="12"/>
        <v>662.04991372339771</v>
      </c>
      <c r="D25" s="11">
        <f t="shared" si="12"/>
        <v>36.582939945507349</v>
      </c>
      <c r="E25" s="11">
        <f t="shared" si="12"/>
        <v>328.02023827126732</v>
      </c>
      <c r="F25" s="11">
        <f t="shared" si="12"/>
        <v>364.60317821677461</v>
      </c>
      <c r="G25" s="200">
        <f t="shared" si="11"/>
        <v>2.8507270348222979E-2</v>
      </c>
      <c r="H25" s="11"/>
      <c r="I25" s="11" t="str">
        <f t="shared" si="13"/>
        <v>Sales and customer service occupations</v>
      </c>
      <c r="J25" s="11">
        <v>7.1503229384349005</v>
      </c>
      <c r="K25" s="11">
        <v>15.579817323088541</v>
      </c>
      <c r="L25" s="11">
        <v>8.4294943846536405</v>
      </c>
      <c r="M25" s="11">
        <v>5.4373317065702711</v>
      </c>
      <c r="N25" s="11">
        <v>13.86682609122391</v>
      </c>
      <c r="O25" s="11"/>
      <c r="P25" s="10" t="str">
        <f>name!D22</f>
        <v>62 Leisure, travel and related personal service occupations</v>
      </c>
      <c r="Q25" s="11">
        <v>197.13555286994591</v>
      </c>
      <c r="R25" s="11">
        <v>223.67395237106967</v>
      </c>
      <c r="S25" s="342">
        <f t="shared" si="5"/>
        <v>26.538399501123763</v>
      </c>
      <c r="T25" s="342">
        <v>91.088627919202381</v>
      </c>
      <c r="U25" s="342">
        <f t="shared" si="6"/>
        <v>117.62702742032614</v>
      </c>
      <c r="V25" s="343">
        <f t="shared" si="7"/>
        <v>2.5646487900984338E-2</v>
      </c>
      <c r="W25" s="343"/>
      <c r="X25" s="10" t="str">
        <f>name!A22</f>
        <v>Motor vehicles, etc</v>
      </c>
      <c r="Y25" s="10">
        <v>130.31599999946297</v>
      </c>
      <c r="Z25" s="10">
        <v>120.06599999977824</v>
      </c>
      <c r="AA25" s="342">
        <f t="shared" si="8"/>
        <v>-10.249999999684732</v>
      </c>
      <c r="AB25" s="10">
        <v>50.875421382637157</v>
      </c>
      <c r="AC25" s="342">
        <f t="shared" si="9"/>
        <v>40.625421382952425</v>
      </c>
      <c r="AD25" s="343">
        <f t="shared" si="10"/>
        <v>2.2215964755684992E-2</v>
      </c>
    </row>
    <row r="26" spans="1:30" x14ac:dyDescent="0.3">
      <c r="A26" s="10" t="str">
        <f>name!D23</f>
        <v>63 Community and civil enforcement occupations</v>
      </c>
      <c r="B26" s="11">
        <f t="shared" si="12"/>
        <v>31.74246340905939</v>
      </c>
      <c r="C26" s="11">
        <f t="shared" si="12"/>
        <v>27.819487466245551</v>
      </c>
      <c r="D26" s="11">
        <f t="shared" si="12"/>
        <v>-3.9229759428138369</v>
      </c>
      <c r="E26" s="11">
        <f t="shared" si="12"/>
        <v>13.11819382666401</v>
      </c>
      <c r="F26" s="11">
        <f t="shared" si="12"/>
        <v>9.1952178838501712</v>
      </c>
      <c r="G26" s="200">
        <f t="shared" si="11"/>
        <v>2.3328336860505727E-2</v>
      </c>
      <c r="H26" s="11"/>
      <c r="I26" s="11" t="str">
        <f t="shared" si="13"/>
        <v>Process, plant and machine operatives</v>
      </c>
      <c r="J26" s="11">
        <v>4.5746453050952693</v>
      </c>
      <c r="K26" s="11">
        <v>14.94235937598437</v>
      </c>
      <c r="L26" s="11">
        <v>10.3677140708891</v>
      </c>
      <c r="M26" s="11">
        <v>6.0679605715282969</v>
      </c>
      <c r="N26" s="11">
        <v>16.435674642417396</v>
      </c>
      <c r="O26" s="11"/>
      <c r="P26" s="10" t="str">
        <f>name!D23</f>
        <v>63 Community and civil enforcement occupations</v>
      </c>
      <c r="Q26" s="11">
        <v>24.710118111484132</v>
      </c>
      <c r="R26" s="11">
        <v>18.627168891848136</v>
      </c>
      <c r="S26" s="342">
        <f t="shared" si="5"/>
        <v>-6.0829492196359958</v>
      </c>
      <c r="T26" s="342">
        <v>7.3498898263734498</v>
      </c>
      <c r="U26" s="342">
        <f t="shared" si="6"/>
        <v>1.266940606737454</v>
      </c>
      <c r="V26" s="343">
        <f t="shared" si="7"/>
        <v>1.7511329576954004E-2</v>
      </c>
      <c r="W26" s="343"/>
      <c r="X26" s="10" t="str">
        <f>name!A23</f>
        <v>Other transport equipment</v>
      </c>
      <c r="Y26" s="10">
        <v>120.05199999957564</v>
      </c>
      <c r="Z26" s="10">
        <v>102.5809999999218</v>
      </c>
      <c r="AA26" s="342">
        <f t="shared" si="8"/>
        <v>-17.470999999653841</v>
      </c>
      <c r="AB26" s="10">
        <v>41.928333934299296</v>
      </c>
      <c r="AC26" s="342">
        <f t="shared" si="9"/>
        <v>24.457333934645455</v>
      </c>
      <c r="AD26" s="343">
        <f t="shared" si="10"/>
        <v>2.0170731054823365E-2</v>
      </c>
    </row>
    <row r="27" spans="1:30" x14ac:dyDescent="0.3">
      <c r="A27" s="10" t="str">
        <f>name!D24</f>
        <v>71 Sales occupations</v>
      </c>
      <c r="B27" s="11">
        <f t="shared" ref="B27:F33" si="14">SUM(B56,B85,B114,B143,B172,B201,B230,B259,B288)</f>
        <v>1852.3067229280091</v>
      </c>
      <c r="C27" s="11">
        <f t="shared" si="14"/>
        <v>1638.8493200669661</v>
      </c>
      <c r="D27" s="11">
        <f t="shared" si="14"/>
        <v>-213.45740286104291</v>
      </c>
      <c r="E27" s="11">
        <f t="shared" si="14"/>
        <v>785.72971811970933</v>
      </c>
      <c r="F27" s="11">
        <f t="shared" si="14"/>
        <v>572.27231525866648</v>
      </c>
      <c r="G27" s="200">
        <f t="shared" si="11"/>
        <v>2.3853594113152798E-2</v>
      </c>
      <c r="H27" s="11"/>
      <c r="I27" s="11" t="str">
        <f t="shared" si="13"/>
        <v>Elementary occupations</v>
      </c>
      <c r="J27" s="11">
        <v>2.3359457382491464</v>
      </c>
      <c r="K27" s="11">
        <v>5.3262844209669407</v>
      </c>
      <c r="L27" s="11">
        <v>2.9903386827177938</v>
      </c>
      <c r="M27" s="11">
        <v>2.2343501846807881</v>
      </c>
      <c r="N27" s="11">
        <v>5.2246888673985827</v>
      </c>
      <c r="O27" s="11"/>
      <c r="P27" s="10" t="str">
        <f>name!D24</f>
        <v>71 Sales occupations</v>
      </c>
      <c r="Q27" s="11">
        <v>771.65082315172208</v>
      </c>
      <c r="R27" s="11">
        <v>714.91978445695713</v>
      </c>
      <c r="S27" s="342">
        <f t="shared" si="5"/>
        <v>-56.731038694764948</v>
      </c>
      <c r="T27" s="342">
        <v>245.50460308907586</v>
      </c>
      <c r="U27" s="342">
        <f t="shared" si="6"/>
        <v>188.77356439431091</v>
      </c>
      <c r="V27" s="343">
        <f t="shared" si="7"/>
        <v>1.8586149471478519E-2</v>
      </c>
      <c r="W27" s="343"/>
      <c r="X27" s="10" t="str">
        <f>name!A24</f>
        <v>Furniture</v>
      </c>
      <c r="Y27" s="10">
        <v>87.090999999974713</v>
      </c>
      <c r="Z27" s="10">
        <v>71.928000000086641</v>
      </c>
      <c r="AA27" s="342">
        <f t="shared" si="8"/>
        <v>-15.162999999888072</v>
      </c>
      <c r="AB27" s="10">
        <v>32.192126269929474</v>
      </c>
      <c r="AC27" s="342">
        <f t="shared" si="9"/>
        <v>17.029126270041402</v>
      </c>
      <c r="AD27" s="343">
        <f t="shared" si="10"/>
        <v>2.1191165625330077E-2</v>
      </c>
    </row>
    <row r="28" spans="1:30" x14ac:dyDescent="0.3">
      <c r="A28" s="10" t="str">
        <f>name!D25</f>
        <v>72 Customer service occupations</v>
      </c>
      <c r="B28" s="11">
        <f t="shared" si="14"/>
        <v>510.02655870683441</v>
      </c>
      <c r="C28" s="11">
        <f t="shared" si="14"/>
        <v>749.94596673149329</v>
      </c>
      <c r="D28" s="11">
        <f t="shared" si="14"/>
        <v>239.91940802465876</v>
      </c>
      <c r="E28" s="11">
        <f t="shared" si="14"/>
        <v>306.77553740280422</v>
      </c>
      <c r="F28" s="11">
        <f t="shared" si="14"/>
        <v>546.69494542746304</v>
      </c>
      <c r="G28" s="200">
        <f t="shared" si="11"/>
        <v>3.1893642534718492E-2</v>
      </c>
      <c r="H28" s="11"/>
      <c r="O28" s="11"/>
      <c r="P28" s="10" t="str">
        <f>name!D25</f>
        <v>72 Customer service occupations</v>
      </c>
      <c r="Q28" s="11">
        <v>198.01870062968607</v>
      </c>
      <c r="R28" s="11">
        <v>322.73100541151939</v>
      </c>
      <c r="S28" s="342">
        <f t="shared" si="5"/>
        <v>124.71230478183332</v>
      </c>
      <c r="T28" s="342">
        <v>96.745451889688837</v>
      </c>
      <c r="U28" s="342">
        <f t="shared" si="6"/>
        <v>221.45775667152216</v>
      </c>
      <c r="V28" s="343">
        <f t="shared" si="7"/>
        <v>2.6875748427672708E-2</v>
      </c>
      <c r="W28" s="343"/>
      <c r="X28" s="10" t="str">
        <f>name!A25</f>
        <v>Other manufacturing</v>
      </c>
      <c r="Y28" s="10">
        <v>88.895999999783555</v>
      </c>
      <c r="Z28" s="10">
        <v>72.855000000031708</v>
      </c>
      <c r="AA28" s="342">
        <f t="shared" si="8"/>
        <v>-16.040999999751847</v>
      </c>
      <c r="AB28" s="10">
        <v>35.637608071756532</v>
      </c>
      <c r="AC28" s="342">
        <f t="shared" si="9"/>
        <v>19.596608072004685</v>
      </c>
      <c r="AD28" s="343">
        <f t="shared" si="10"/>
        <v>2.2728339017538124E-2</v>
      </c>
    </row>
    <row r="29" spans="1:30" x14ac:dyDescent="0.3">
      <c r="A29" s="10" t="str">
        <f>name!D26</f>
        <v>81 Process, plant and machine operatives</v>
      </c>
      <c r="B29" s="11">
        <f t="shared" si="14"/>
        <v>607.2818936604956</v>
      </c>
      <c r="C29" s="11">
        <f t="shared" si="14"/>
        <v>716.39137017341102</v>
      </c>
      <c r="D29" s="11">
        <f t="shared" si="14"/>
        <v>109.10947651291541</v>
      </c>
      <c r="E29" s="11">
        <f t="shared" si="14"/>
        <v>280.32638721605076</v>
      </c>
      <c r="F29" s="11">
        <f t="shared" si="14"/>
        <v>389.43586372896618</v>
      </c>
      <c r="G29" s="200">
        <f t="shared" si="11"/>
        <v>2.5625320653230421E-2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467.28705132247853</v>
      </c>
      <c r="R29" s="11">
        <v>538.38676386550969</v>
      </c>
      <c r="S29" s="342">
        <f t="shared" si="5"/>
        <v>71.09971254303116</v>
      </c>
      <c r="T29" s="342">
        <v>195.22869083028277</v>
      </c>
      <c r="U29" s="342">
        <f t="shared" si="6"/>
        <v>266.3284033733139</v>
      </c>
      <c r="V29" s="343">
        <f t="shared" si="7"/>
        <v>2.3546310176353558E-2</v>
      </c>
      <c r="W29" s="343"/>
      <c r="X29" s="10" t="str">
        <f>name!A26</f>
        <v>Repair and installation</v>
      </c>
      <c r="Y29" s="10">
        <v>126.37299999959636</v>
      </c>
      <c r="Z29" s="10">
        <v>104.80999999985885</v>
      </c>
      <c r="AA29" s="342">
        <f t="shared" si="8"/>
        <v>-21.562999999737514</v>
      </c>
      <c r="AB29" s="10">
        <v>44.839429074718339</v>
      </c>
      <c r="AC29" s="342">
        <f t="shared" si="9"/>
        <v>23.276429074980825</v>
      </c>
      <c r="AD29" s="343">
        <f t="shared" si="10"/>
        <v>2.0450789988656126E-2</v>
      </c>
    </row>
    <row r="30" spans="1:30" x14ac:dyDescent="0.3">
      <c r="A30" s="10" t="str">
        <f>name!D27</f>
        <v>82 Transport and mobile machine drivers and operatives</v>
      </c>
      <c r="B30" s="11">
        <f t="shared" si="14"/>
        <v>1054.8556506340062</v>
      </c>
      <c r="C30" s="11">
        <f t="shared" si="14"/>
        <v>1135.695900279012</v>
      </c>
      <c r="D30" s="11">
        <f t="shared" si="14"/>
        <v>80.84024964500577</v>
      </c>
      <c r="E30" s="11">
        <f t="shared" si="14"/>
        <v>594.6526600790063</v>
      </c>
      <c r="F30" s="11">
        <f t="shared" si="14"/>
        <v>675.49290972401195</v>
      </c>
      <c r="G30" s="200">
        <f t="shared" si="11"/>
        <v>3.0253499279005336E-2</v>
      </c>
      <c r="H30" s="11"/>
      <c r="I30" s="11" t="str">
        <f>I19</f>
        <v>Managers, directors and senior officials</v>
      </c>
      <c r="J30" s="11">
        <f t="array" ref="J30:J38">MMULT(aggregation!$B$38:$AA$46,B65:B90)</f>
        <v>456.9896681211942</v>
      </c>
      <c r="K30" s="11">
        <f t="array" ref="K30:K38">MMULT(aggregation!$B$38:$AA$46,C65:C90)</f>
        <v>872.82573080696227</v>
      </c>
      <c r="L30" s="11">
        <f t="array" ref="L30:L38">MMULT(aggregation!$B$38:$AA$46,D65:D90)</f>
        <v>415.83606268576807</v>
      </c>
      <c r="M30" s="11">
        <f t="array" ref="M30:M38">MMULT(aggregation!$B$38:$AA$46,E65:E90)</f>
        <v>369.75942591825361</v>
      </c>
      <c r="N30" s="11">
        <f t="array" ref="N30:N38">MMULT(aggregation!$B$38:$AA$46,F65:F90)</f>
        <v>785.59548860402174</v>
      </c>
      <c r="O30" s="11"/>
      <c r="P30" s="10" t="str">
        <f>name!D27</f>
        <v>82 Transport and mobile machine drivers and operatives</v>
      </c>
      <c r="Q30" s="11">
        <v>992.19217650976475</v>
      </c>
      <c r="R30" s="11">
        <v>1029.9222053166914</v>
      </c>
      <c r="S30" s="342">
        <f t="shared" si="5"/>
        <v>37.730028806926612</v>
      </c>
      <c r="T30" s="342">
        <v>537.09678555013886</v>
      </c>
      <c r="U30" s="342">
        <f t="shared" si="6"/>
        <v>574.82681435706547</v>
      </c>
      <c r="V30" s="343">
        <f t="shared" si="7"/>
        <v>2.9262737790350046E-2</v>
      </c>
      <c r="W30" s="343"/>
      <c r="X30" s="10" t="str">
        <f>name!A27</f>
        <v>Electricity, gas, etc</v>
      </c>
      <c r="Y30" s="10">
        <v>118.73099999947833</v>
      </c>
      <c r="Z30" s="10">
        <v>113.49399999960092</v>
      </c>
      <c r="AA30" s="342">
        <f t="shared" si="8"/>
        <v>-5.2369999998774119</v>
      </c>
      <c r="AB30" s="10">
        <v>48.953166295369591</v>
      </c>
      <c r="AC30" s="342">
        <f t="shared" si="9"/>
        <v>43.716166295492179</v>
      </c>
      <c r="AD30" s="343">
        <f t="shared" si="10"/>
        <v>2.3281671548424754E-2</v>
      </c>
    </row>
    <row r="31" spans="1:30" x14ac:dyDescent="0.3">
      <c r="A31" s="10" t="str">
        <f>name!D28</f>
        <v>91 Elementary trades and related occupations</v>
      </c>
      <c r="B31" s="11">
        <f t="shared" si="14"/>
        <v>381.35221201872901</v>
      </c>
      <c r="C31" s="11">
        <f t="shared" si="14"/>
        <v>305.22320056621072</v>
      </c>
      <c r="D31" s="11">
        <f t="shared" si="14"/>
        <v>-76.129011452518313</v>
      </c>
      <c r="E31" s="11">
        <f t="shared" si="14"/>
        <v>126.13849944405538</v>
      </c>
      <c r="F31" s="11">
        <f t="shared" si="14"/>
        <v>50.009487991537078</v>
      </c>
      <c r="G31" s="200">
        <f t="shared" si="11"/>
        <v>1.9232950017533224E-2</v>
      </c>
      <c r="H31" s="11"/>
      <c r="I31" s="11" t="str">
        <f>I20</f>
        <v>Professional occupations</v>
      </c>
      <c r="J31" s="11">
        <v>2060.0490035581361</v>
      </c>
      <c r="K31" s="11">
        <v>3401.0506763709568</v>
      </c>
      <c r="L31" s="11">
        <v>1341.001672812821</v>
      </c>
      <c r="M31" s="11">
        <v>1363.2597921066681</v>
      </c>
      <c r="N31" s="11">
        <v>2704.2614649194893</v>
      </c>
      <c r="O31" s="11"/>
      <c r="P31" s="10" t="str">
        <f>name!D28</f>
        <v>91 Elementary trades and related occupations</v>
      </c>
      <c r="Q31" s="11">
        <v>301.1258194791863</v>
      </c>
      <c r="R31" s="11">
        <v>237.55461649335294</v>
      </c>
      <c r="S31" s="342">
        <f t="shared" si="5"/>
        <v>-63.571202985833366</v>
      </c>
      <c r="T31" s="342">
        <v>83.005104516879669</v>
      </c>
      <c r="U31" s="342">
        <f t="shared" si="6"/>
        <v>19.433901531046303</v>
      </c>
      <c r="V31" s="343">
        <f t="shared" si="7"/>
        <v>1.6362778291035829E-2</v>
      </c>
      <c r="W31" s="343"/>
      <c r="X31" s="10" t="str">
        <f>name!A28</f>
        <v>Water</v>
      </c>
      <c r="Y31" s="10">
        <v>36.481999999837981</v>
      </c>
      <c r="Z31" s="10">
        <v>41.416999999977506</v>
      </c>
      <c r="AA31" s="342">
        <f t="shared" si="8"/>
        <v>4.9350000001395244</v>
      </c>
      <c r="AB31" s="10">
        <v>17.292494789561001</v>
      </c>
      <c r="AC31" s="342">
        <f t="shared" si="9"/>
        <v>22.227494789700526</v>
      </c>
      <c r="AD31" s="343">
        <f t="shared" si="10"/>
        <v>2.6202763838503618E-2</v>
      </c>
    </row>
    <row r="32" spans="1:30" x14ac:dyDescent="0.3">
      <c r="A32" s="10" t="str">
        <f>name!D29</f>
        <v>92 Elementary administration and service occupations</v>
      </c>
      <c r="B32" s="11">
        <f t="shared" si="14"/>
        <v>2620.1587668920197</v>
      </c>
      <c r="C32" s="11">
        <f t="shared" si="14"/>
        <v>2601.8770524398356</v>
      </c>
      <c r="D32" s="11">
        <f t="shared" si="14"/>
        <v>-18.281714452184247</v>
      </c>
      <c r="E32" s="11">
        <f t="shared" si="14"/>
        <v>1293.9375578954944</v>
      </c>
      <c r="F32" s="11">
        <f t="shared" si="14"/>
        <v>1275.6558434433102</v>
      </c>
      <c r="G32" s="200">
        <f t="shared" ref="G32" si="15">IF(B32&gt;0,(1+(E32/B32))^(1/($C$6-$B$6))-1,0)</f>
        <v>2.711781055855722E-2</v>
      </c>
      <c r="H32" s="11"/>
      <c r="I32" s="11" t="str">
        <f>I21</f>
        <v>Associate professional occupations</v>
      </c>
      <c r="J32" s="11">
        <v>644.13215839618624</v>
      </c>
      <c r="K32" s="11">
        <v>1138.0679125805448</v>
      </c>
      <c r="L32" s="11">
        <v>493.93575418435853</v>
      </c>
      <c r="M32" s="11">
        <v>438.61442863259612</v>
      </c>
      <c r="N32" s="11">
        <v>932.5501828169547</v>
      </c>
      <c r="O32" s="11"/>
      <c r="P32" s="10" t="str">
        <f>name!D29</f>
        <v>92 Elementary administration and service occupations</v>
      </c>
      <c r="Q32" s="11">
        <v>1295.0761240716754</v>
      </c>
      <c r="R32" s="11">
        <v>1330.0956427135461</v>
      </c>
      <c r="S32" s="342">
        <f t="shared" ref="S32" si="16">R32-Q32</f>
        <v>35.019518641870718</v>
      </c>
      <c r="T32" s="342">
        <v>545.62476600986633</v>
      </c>
      <c r="U32" s="342">
        <f>SUM(S32:T32)</f>
        <v>580.64428465173705</v>
      </c>
      <c r="V32" s="343">
        <f>IF(Q32&gt;0,(1+(T32/Q32))^(1/($C$6-$B$6))-1,0)</f>
        <v>2.3715302175031372E-2</v>
      </c>
      <c r="W32" s="343"/>
      <c r="X32" s="10" t="str">
        <f>name!A29</f>
        <v>Sewerage</v>
      </c>
      <c r="Y32" s="10">
        <v>19.471000000039979</v>
      </c>
      <c r="Z32" s="10">
        <v>22.226000000163623</v>
      </c>
      <c r="AA32" s="342">
        <f t="shared" si="8"/>
        <v>2.7550000001236441</v>
      </c>
      <c r="AB32" s="10">
        <v>9.00386355398083</v>
      </c>
      <c r="AC32" s="342">
        <f t="shared" si="9"/>
        <v>11.758863554104474</v>
      </c>
      <c r="AD32" s="343">
        <f t="shared" si="10"/>
        <v>2.5663481862267634E-2</v>
      </c>
    </row>
    <row r="33" spans="1:30" x14ac:dyDescent="0.3">
      <c r="A33" t="str">
        <f>name!D3</f>
        <v>All occupations</v>
      </c>
      <c r="B33" s="11">
        <f t="shared" si="14"/>
        <v>29859.680999995031</v>
      </c>
      <c r="C33" s="11">
        <f t="shared" si="14"/>
        <v>32070.090999998902</v>
      </c>
      <c r="D33" s="11">
        <f t="shared" si="14"/>
        <v>2210.4100000038766</v>
      </c>
      <c r="E33" s="11">
        <f t="shared" si="14"/>
        <v>14988.122927048113</v>
      </c>
      <c r="F33" s="11">
        <f t="shared" si="14"/>
        <v>17198.532927051991</v>
      </c>
      <c r="G33" s="200">
        <f t="shared" si="11"/>
        <v>2.7488732002161065E-2</v>
      </c>
      <c r="H33" s="11"/>
      <c r="I33" s="11" t="str">
        <f>I22</f>
        <v>Administrative and secretarial occupations</v>
      </c>
      <c r="J33" s="11">
        <v>219.94402537381492</v>
      </c>
      <c r="K33" s="11">
        <v>411.88677828184251</v>
      </c>
      <c r="L33" s="11">
        <v>191.94275290802756</v>
      </c>
      <c r="M33" s="11">
        <v>175.37771186899528</v>
      </c>
      <c r="N33" s="11">
        <v>367.32046477702283</v>
      </c>
      <c r="O33" s="11"/>
      <c r="P33" s="10" t="str">
        <f>name!D3</f>
        <v>All occupations</v>
      </c>
      <c r="Q33" s="11">
        <f>SUM(Q7:Q32)</f>
        <v>15479.516000000145</v>
      </c>
      <c r="R33" s="11">
        <f>SUM(R7:R32)</f>
        <v>16483.507000000143</v>
      </c>
      <c r="S33" s="342">
        <f>R33-Q33</f>
        <v>1003.9909999999982</v>
      </c>
      <c r="T33" s="11">
        <f>SUM(T7:T32)</f>
        <v>6500.8203760489341</v>
      </c>
      <c r="U33" s="342">
        <f>SUM(S33:T33)</f>
        <v>7504.8113760489323</v>
      </c>
      <c r="V33" s="343">
        <f t="shared" si="7"/>
        <v>2.3650722104910926E-2</v>
      </c>
      <c r="W33" s="11"/>
      <c r="X33" s="10" t="str">
        <f>name!A30</f>
        <v>Waste management</v>
      </c>
      <c r="Y33" s="10">
        <v>115.65999999995012</v>
      </c>
      <c r="Z33" s="10">
        <v>130.80100000032016</v>
      </c>
      <c r="AA33" s="342">
        <f t="shared" si="8"/>
        <v>15.141000000370042</v>
      </c>
      <c r="AB33" s="10">
        <v>54.467101887972952</v>
      </c>
      <c r="AC33" s="342">
        <f t="shared" si="9"/>
        <v>69.608101888342986</v>
      </c>
      <c r="AD33" s="343">
        <f t="shared" si="10"/>
        <v>2.6059835458605907E-2</v>
      </c>
    </row>
    <row r="34" spans="1:30" ht="30" customHeight="1" x14ac:dyDescent="0.3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57.80267912409699</v>
      </c>
      <c r="K34" s="11">
        <v>148.14052037935221</v>
      </c>
      <c r="L34" s="11">
        <v>90.337841255255228</v>
      </c>
      <c r="M34" s="11">
        <v>54.463818691437851</v>
      </c>
      <c r="N34" s="11">
        <v>144.80165994669306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663.91799999096656</v>
      </c>
      <c r="Z34" s="10">
        <v>757.61799998308288</v>
      </c>
      <c r="AA34" s="342">
        <f t="shared" si="8"/>
        <v>93.699999992116318</v>
      </c>
      <c r="AB34" s="10">
        <v>304.64331284927187</v>
      </c>
      <c r="AC34" s="342">
        <f t="shared" si="9"/>
        <v>398.34331284138818</v>
      </c>
      <c r="AD34" s="343">
        <f t="shared" si="10"/>
        <v>2.5496490200735522E-2</v>
      </c>
    </row>
    <row r="35" spans="1:30" ht="24.9" x14ac:dyDescent="0.3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114.0503524134112</v>
      </c>
      <c r="K35" s="11">
        <v>266.58181210241719</v>
      </c>
      <c r="L35" s="11">
        <v>152.531459689006</v>
      </c>
      <c r="M35" s="11">
        <v>112.48968111585502</v>
      </c>
      <c r="N35" s="11">
        <v>265.02114080486103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261.28999999675062</v>
      </c>
      <c r="Z35" s="10">
        <v>291.46699999292167</v>
      </c>
      <c r="AA35" s="342">
        <f t="shared" si="8"/>
        <v>30.176999996171048</v>
      </c>
      <c r="AB35" s="10">
        <v>113.11056079313224</v>
      </c>
      <c r="AC35" s="342">
        <f t="shared" si="9"/>
        <v>143.28756078930328</v>
      </c>
      <c r="AD35" s="343">
        <f t="shared" si="10"/>
        <v>2.4269514140325077E-2</v>
      </c>
    </row>
    <row r="36" spans="1:30" ht="12.75" customHeight="1" x14ac:dyDescent="0.3">
      <c r="A36" t="str">
        <f t="shared" ref="A36:A62" si="20">A7</f>
        <v>11 Corporate managers and directors</v>
      </c>
      <c r="B36" s="11">
        <v>39.870453276102609</v>
      </c>
      <c r="C36" s="11">
        <v>70.72557789862654</v>
      </c>
      <c r="D36" s="11">
        <f>C36-B36</f>
        <v>30.855124622523931</v>
      </c>
      <c r="E36" s="11">
        <v>29.09086082246926</v>
      </c>
      <c r="F36" s="11">
        <f>SUM(D36:E36)</f>
        <v>59.945985444993191</v>
      </c>
      <c r="G36" s="200">
        <f>IF(B36&gt;0,(1+(E36/B36))^(1/($C$6-$B$6))-1,0)</f>
        <v>3.7202664342874003E-2</v>
      </c>
      <c r="I36" s="11" t="str">
        <f t="shared" si="18"/>
        <v>Sales and customer service occupations</v>
      </c>
      <c r="J36" s="11">
        <v>99.207910521803882</v>
      </c>
      <c r="K36" s="11">
        <v>231.09545491476126</v>
      </c>
      <c r="L36" s="11">
        <v>131.88754439295735</v>
      </c>
      <c r="M36" s="11">
        <v>80.271251989351811</v>
      </c>
      <c r="N36" s="11">
        <v>212.15879638230916</v>
      </c>
      <c r="P36" s="10" t="str">
        <f>name!D4</f>
        <v>11 Corporate managers and directors</v>
      </c>
      <c r="Q36" s="11">
        <v>782.6218359714743</v>
      </c>
      <c r="R36" s="11">
        <v>916.42710278150287</v>
      </c>
      <c r="S36" s="342">
        <f>R36-Q36</f>
        <v>133.80526681002857</v>
      </c>
      <c r="T36" s="342">
        <v>486.26491573325967</v>
      </c>
      <c r="U36" s="342">
        <f>SUM(S36:T36)</f>
        <v>620.07018254328818</v>
      </c>
      <c r="V36" s="343">
        <f>IF(Q36&gt;0,(1+(T36/Q36))^(1/($C$6-$B$6))-1,0)</f>
        <v>3.274093944442158E-2</v>
      </c>
      <c r="W36" s="343"/>
      <c r="X36" s="10" t="str">
        <f>name!A33</f>
        <v>Specialised construction</v>
      </c>
      <c r="Y36" s="10">
        <v>1074.5869999859656</v>
      </c>
      <c r="Z36" s="10">
        <v>1202.8319999708153</v>
      </c>
      <c r="AA36" s="342">
        <f t="shared" si="8"/>
        <v>128.24499998484976</v>
      </c>
      <c r="AB36" s="10">
        <v>473.08719798740623</v>
      </c>
      <c r="AC36" s="342">
        <f t="shared" si="9"/>
        <v>601.33219797225593</v>
      </c>
      <c r="AD36" s="343">
        <f t="shared" si="10"/>
        <v>2.4619296613176633E-2</v>
      </c>
    </row>
    <row r="37" spans="1:30" x14ac:dyDescent="0.3">
      <c r="A37" t="str">
        <f t="shared" si="20"/>
        <v>12 Other managers and proprietors</v>
      </c>
      <c r="B37" s="11">
        <v>13.884806301299168</v>
      </c>
      <c r="C37" s="11">
        <v>36.997298072753949</v>
      </c>
      <c r="D37" s="11">
        <f t="shared" ref="D37:D60" si="21">C37-B37</f>
        <v>23.112491771454781</v>
      </c>
      <c r="E37" s="11">
        <v>16.082294812302884</v>
      </c>
      <c r="F37" s="11">
        <f t="shared" ref="F37:F57" si="22">SUM(D37:E37)</f>
        <v>39.194786583757661</v>
      </c>
      <c r="G37" s="200">
        <f t="shared" ref="G37:G62" si="23">IF(B37&gt;0,(1+(E37/B37))^(1/($C$6-$B$6))-1,0)</f>
        <v>5.2624951888595506E-2</v>
      </c>
      <c r="I37" s="11" t="str">
        <f t="shared" si="18"/>
        <v>Process, plant and machine operatives</v>
      </c>
      <c r="J37" s="11">
        <v>31.444920106135115</v>
      </c>
      <c r="K37" s="11">
        <v>90.928199270687628</v>
      </c>
      <c r="L37" s="11">
        <v>59.483279164552521</v>
      </c>
      <c r="M37" s="11">
        <v>36.784690868249697</v>
      </c>
      <c r="N37" s="11">
        <v>96.267970032802225</v>
      </c>
      <c r="P37" s="10" t="str">
        <f>name!D5</f>
        <v>12 Other managers and proprietors</v>
      </c>
      <c r="Q37" s="11">
        <v>416.02533788199293</v>
      </c>
      <c r="R37" s="11">
        <v>579.60200689996805</v>
      </c>
      <c r="S37" s="342">
        <f t="shared" ref="S37:S60" si="24">R37-Q37</f>
        <v>163.57666901797512</v>
      </c>
      <c r="T37" s="342">
        <v>333.92973426719408</v>
      </c>
      <c r="U37" s="342">
        <f t="shared" ref="U37:U60" si="25">SUM(S37:T37)</f>
        <v>497.5064032851692</v>
      </c>
      <c r="V37" s="343">
        <f t="shared" ref="V37:V60" si="26">IF(Q37&gt;0,(1+(T37/Q37))^(1/($C$6-$B$6))-1,0)</f>
        <v>4.0066315069751113E-2</v>
      </c>
      <c r="W37" s="343"/>
      <c r="X37" s="10" t="str">
        <f>name!A34</f>
        <v>Motor vehicle trade</v>
      </c>
      <c r="Y37" s="10">
        <v>516.88400000069862</v>
      </c>
      <c r="Z37" s="10">
        <v>553.44000000060851</v>
      </c>
      <c r="AA37" s="342">
        <f t="shared" si="8"/>
        <v>36.555999999909886</v>
      </c>
      <c r="AB37" s="10">
        <v>221.28190747325675</v>
      </c>
      <c r="AC37" s="342">
        <f t="shared" si="9"/>
        <v>257.83790747316664</v>
      </c>
      <c r="AD37" s="343">
        <f t="shared" si="10"/>
        <v>2.404111299097722E-2</v>
      </c>
    </row>
    <row r="38" spans="1:30" x14ac:dyDescent="0.3">
      <c r="A38" t="str">
        <f t="shared" si="20"/>
        <v>21 Science, research, engineering and technology professionals</v>
      </c>
      <c r="B38" s="11">
        <v>98.409257737027872</v>
      </c>
      <c r="C38" s="11">
        <v>163.93712441234243</v>
      </c>
      <c r="D38" s="11">
        <f t="shared" si="21"/>
        <v>65.527866675314556</v>
      </c>
      <c r="E38" s="11">
        <v>51.5422254719469</v>
      </c>
      <c r="F38" s="11">
        <f t="shared" si="22"/>
        <v>117.07009214726145</v>
      </c>
      <c r="G38" s="200">
        <f t="shared" si="23"/>
        <v>2.8476376484340093E-2</v>
      </c>
      <c r="I38" s="11" t="str">
        <f t="shared" si="18"/>
        <v>Elementary occupations</v>
      </c>
      <c r="J38" s="11">
        <v>81.668791012558032</v>
      </c>
      <c r="K38" s="11">
        <v>228.79981738501203</v>
      </c>
      <c r="L38" s="11">
        <v>147.13102637245402</v>
      </c>
      <c r="M38" s="11">
        <v>88.961052794467932</v>
      </c>
      <c r="N38" s="11">
        <v>236.09207916692193</v>
      </c>
      <c r="P38" s="10" t="str">
        <f>name!D6</f>
        <v>21 Science, research, engineering and technology professionals</v>
      </c>
      <c r="Q38" s="11">
        <v>441.34607486463847</v>
      </c>
      <c r="R38" s="11">
        <v>622.3834851824696</v>
      </c>
      <c r="S38" s="342">
        <f t="shared" si="24"/>
        <v>181.03741031783113</v>
      </c>
      <c r="T38" s="342">
        <v>279.22556977415729</v>
      </c>
      <c r="U38" s="342">
        <f t="shared" si="25"/>
        <v>460.26298009198842</v>
      </c>
      <c r="V38" s="343">
        <f t="shared" si="26"/>
        <v>3.3220925703838056E-2</v>
      </c>
      <c r="W38" s="343"/>
      <c r="X38" s="10" t="str">
        <f>name!A35</f>
        <v>Wholesale trade</v>
      </c>
      <c r="Y38" s="10">
        <v>1106.2540000001143</v>
      </c>
      <c r="Z38" s="10">
        <v>1126.4979999981508</v>
      </c>
      <c r="AA38" s="342">
        <f t="shared" si="8"/>
        <v>20.243999998036543</v>
      </c>
      <c r="AB38" s="10">
        <v>504.60481778454886</v>
      </c>
      <c r="AC38" s="342">
        <f t="shared" si="9"/>
        <v>524.84881778258546</v>
      </c>
      <c r="AD38" s="343">
        <f t="shared" si="10"/>
        <v>2.5368980431074384E-2</v>
      </c>
    </row>
    <row r="39" spans="1:30" x14ac:dyDescent="0.3">
      <c r="A39" t="str">
        <f t="shared" si="20"/>
        <v>22 Health professionals</v>
      </c>
      <c r="B39" s="11">
        <v>91.512176509938257</v>
      </c>
      <c r="C39" s="11">
        <v>167.65678155051128</v>
      </c>
      <c r="D39" s="11">
        <f t="shared" si="21"/>
        <v>76.144605040573026</v>
      </c>
      <c r="E39" s="11">
        <v>66.249913257128142</v>
      </c>
      <c r="F39" s="11">
        <f t="shared" si="22"/>
        <v>142.39451829770115</v>
      </c>
      <c r="G39" s="200">
        <f t="shared" si="23"/>
        <v>3.6974915861843982E-2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991.26898159125392</v>
      </c>
      <c r="R39" s="11">
        <v>1167.9044024666046</v>
      </c>
      <c r="S39" s="342">
        <f t="shared" si="24"/>
        <v>176.63542087535063</v>
      </c>
      <c r="T39" s="342">
        <v>640.23450829869523</v>
      </c>
      <c r="U39" s="342">
        <f t="shared" si="25"/>
        <v>816.86992917404586</v>
      </c>
      <c r="V39" s="343">
        <f t="shared" si="26"/>
        <v>3.377596970100849E-2</v>
      </c>
      <c r="W39" s="343"/>
      <c r="X39" s="10" t="str">
        <f>name!A36</f>
        <v>Retail trade</v>
      </c>
      <c r="Y39" s="10">
        <v>2636.4890000349233</v>
      </c>
      <c r="Z39" s="10">
        <v>2648.529999988893</v>
      </c>
      <c r="AA39" s="342">
        <f t="shared" si="8"/>
        <v>12.040999953969731</v>
      </c>
      <c r="AB39" s="10">
        <v>1255.9700379272119</v>
      </c>
      <c r="AC39" s="342">
        <f t="shared" si="9"/>
        <v>1268.0110378811817</v>
      </c>
      <c r="AD39" s="343">
        <f t="shared" si="10"/>
        <v>2.6313100358991592E-2</v>
      </c>
    </row>
    <row r="40" spans="1:30" x14ac:dyDescent="0.3">
      <c r="A40" t="str">
        <f t="shared" si="20"/>
        <v>23 Teaching and other educational professionals</v>
      </c>
      <c r="B40" s="11">
        <v>134.73145804762945</v>
      </c>
      <c r="C40" s="11">
        <v>191.92819915164634</v>
      </c>
      <c r="D40" s="11">
        <f>C40-B40</f>
        <v>57.196741104016894</v>
      </c>
      <c r="E40" s="11">
        <v>83.232987402413968</v>
      </c>
      <c r="F40" s="11">
        <f>SUM(D40:E40)</f>
        <v>140.42972850643088</v>
      </c>
      <c r="G40" s="200">
        <f>IF(B40&gt;0,(1+(E40/B40))^(1/($C$6-$B$6))-1,0)</f>
        <v>3.258967099273713E-2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1011.8428797522325</v>
      </c>
      <c r="R40" s="11">
        <v>1134.543251505017</v>
      </c>
      <c r="S40" s="342">
        <f t="shared" si="24"/>
        <v>122.70037175278446</v>
      </c>
      <c r="T40" s="342">
        <v>586.41861496321098</v>
      </c>
      <c r="U40" s="342">
        <f t="shared" si="25"/>
        <v>709.11898671599545</v>
      </c>
      <c r="V40" s="343">
        <f t="shared" si="26"/>
        <v>3.0945365013772097E-2</v>
      </c>
      <c r="W40" s="343"/>
      <c r="X40" s="10" t="str">
        <f>name!A37</f>
        <v>Land transport, etc</v>
      </c>
      <c r="Y40" s="10">
        <v>709.30400000259522</v>
      </c>
      <c r="Z40" s="10">
        <v>779.28100000986194</v>
      </c>
      <c r="AA40" s="342">
        <f t="shared" si="8"/>
        <v>69.977000007266724</v>
      </c>
      <c r="AB40" s="10">
        <v>372.46348825784565</v>
      </c>
      <c r="AC40" s="342">
        <f t="shared" si="9"/>
        <v>442.44048826511238</v>
      </c>
      <c r="AD40" s="343">
        <f t="shared" si="10"/>
        <v>2.8537430291256882E-2</v>
      </c>
    </row>
    <row r="41" spans="1:30" x14ac:dyDescent="0.3">
      <c r="A41" t="str">
        <f t="shared" si="20"/>
        <v>24 Business, media and public service professionals</v>
      </c>
      <c r="B41" s="11">
        <v>47.713705884142676</v>
      </c>
      <c r="C41" s="11">
        <v>102.38522759382525</v>
      </c>
      <c r="D41" s="11">
        <f t="shared" si="21"/>
        <v>54.671521709682573</v>
      </c>
      <c r="E41" s="11">
        <v>37.875058189937967</v>
      </c>
      <c r="F41" s="11">
        <f t="shared" si="22"/>
        <v>92.546579899620539</v>
      </c>
      <c r="G41" s="200">
        <f t="shared" si="23"/>
        <v>3.9724410499689444E-2</v>
      </c>
      <c r="I41" s="11" t="str">
        <f>I30</f>
        <v>Managers, directors and senior officials</v>
      </c>
      <c r="J41" s="11">
        <f t="array" ref="J41:J49">MMULT(aggregation!$B$38:$AA$46,B94:B119)</f>
        <v>913.57381771471</v>
      </c>
      <c r="K41" s="11">
        <f t="array" ref="K41:K49">MMULT(aggregation!$B$38:$AA$46,C94:C119)</f>
        <v>1096.9005902488766</v>
      </c>
      <c r="L41" s="11">
        <f t="array" ref="L41:L49">MMULT(aggregation!$B$38:$AA$46,D94:D119)</f>
        <v>183.32677253416645</v>
      </c>
      <c r="M41" s="11">
        <f t="array" ref="M41:M49">MMULT(aggregation!$B$38:$AA$46,E94:E119)</f>
        <v>597.22088744457642</v>
      </c>
      <c r="N41" s="11">
        <f t="array" ref="N41:N49">MMULT(aggregation!$B$38:$AA$46,F94:F119)</f>
        <v>780.54765997874279</v>
      </c>
      <c r="P41" s="10" t="str">
        <f>name!D9</f>
        <v>24 Business, media and public service professionals</v>
      </c>
      <c r="Q41" s="11">
        <v>1020.1699836225596</v>
      </c>
      <c r="R41" s="11">
        <v>1320.1172392779663</v>
      </c>
      <c r="S41" s="342">
        <f t="shared" si="24"/>
        <v>299.94725565540671</v>
      </c>
      <c r="T41" s="342">
        <v>649.89547451407111</v>
      </c>
      <c r="U41" s="342">
        <f t="shared" si="25"/>
        <v>949.84273016947782</v>
      </c>
      <c r="V41" s="343">
        <f t="shared" si="26"/>
        <v>3.3405408489656452E-2</v>
      </c>
      <c r="W41" s="343"/>
      <c r="X41" s="10" t="str">
        <f>name!A38</f>
        <v>Water transport</v>
      </c>
      <c r="Y41" s="10">
        <v>16.010000000037465</v>
      </c>
      <c r="Z41" s="10">
        <v>12.616000000050917</v>
      </c>
      <c r="AA41" s="342">
        <f t="shared" si="8"/>
        <v>-3.3939999999865478</v>
      </c>
      <c r="AB41" s="10">
        <v>6.0486814899425578</v>
      </c>
      <c r="AC41" s="342">
        <f t="shared" si="9"/>
        <v>2.6546814899560101</v>
      </c>
      <c r="AD41" s="343">
        <f t="shared" si="10"/>
        <v>2.1596072276925948E-2</v>
      </c>
    </row>
    <row r="42" spans="1:30" x14ac:dyDescent="0.3">
      <c r="A42" t="str">
        <f t="shared" si="20"/>
        <v>31 Science, engineering and technology associate professionals</v>
      </c>
      <c r="B42" s="11">
        <v>13.499960752377961</v>
      </c>
      <c r="C42" s="11">
        <v>24.680433766620819</v>
      </c>
      <c r="D42" s="11">
        <f t="shared" si="21"/>
        <v>11.180473014242859</v>
      </c>
      <c r="E42" s="11">
        <v>8.7303671172279973</v>
      </c>
      <c r="F42" s="11">
        <f t="shared" si="22"/>
        <v>19.910840131470856</v>
      </c>
      <c r="G42" s="200">
        <f t="shared" si="23"/>
        <v>3.381038574009021E-2</v>
      </c>
      <c r="I42" s="11" t="str">
        <f>I31</f>
        <v>Professional occupations</v>
      </c>
      <c r="J42" s="11">
        <v>2402.5944619809266</v>
      </c>
      <c r="K42" s="11">
        <v>2483.7266047455805</v>
      </c>
      <c r="L42" s="11">
        <v>81.132142764653906</v>
      </c>
      <c r="M42" s="11">
        <v>1233.9077747095448</v>
      </c>
      <c r="N42" s="11">
        <v>1315.0399174741988</v>
      </c>
      <c r="P42" s="10" t="str">
        <f>name!D10</f>
        <v>31 Science, engineering and technology associate professionals</v>
      </c>
      <c r="Q42" s="11">
        <v>166.26061128193439</v>
      </c>
      <c r="R42" s="11">
        <v>204.11331260630206</v>
      </c>
      <c r="S42" s="342">
        <f t="shared" si="24"/>
        <v>37.852701324367672</v>
      </c>
      <c r="T42" s="342">
        <v>91.977220639159583</v>
      </c>
      <c r="U42" s="342">
        <f t="shared" si="25"/>
        <v>129.82992196352726</v>
      </c>
      <c r="V42" s="343">
        <f t="shared" si="26"/>
        <v>2.9790069703105493E-2</v>
      </c>
      <c r="W42" s="343"/>
      <c r="X42" s="10" t="str">
        <f>name!A39</f>
        <v>Air transport</v>
      </c>
      <c r="Y42" s="10">
        <v>70.473999999793662</v>
      </c>
      <c r="Z42" s="10">
        <v>74.192999999760232</v>
      </c>
      <c r="AA42" s="342">
        <f t="shared" si="8"/>
        <v>3.7189999999665702</v>
      </c>
      <c r="AB42" s="10">
        <v>34.579832056792867</v>
      </c>
      <c r="AC42" s="342">
        <f t="shared" si="9"/>
        <v>38.298832056759437</v>
      </c>
      <c r="AD42" s="343">
        <f t="shared" si="10"/>
        <v>2.6972620090911947E-2</v>
      </c>
    </row>
    <row r="43" spans="1:30" x14ac:dyDescent="0.3">
      <c r="A43" t="str">
        <f t="shared" si="20"/>
        <v>32 Health and social care associate professionals</v>
      </c>
      <c r="B43" s="11">
        <v>2.7984348873661182</v>
      </c>
      <c r="C43" s="11">
        <v>6.3928440140012883</v>
      </c>
      <c r="D43" s="11">
        <f t="shared" si="21"/>
        <v>3.5944091266351701</v>
      </c>
      <c r="E43" s="11">
        <v>2.7630460669343146</v>
      </c>
      <c r="F43" s="11">
        <f t="shared" si="22"/>
        <v>6.3574551935694847</v>
      </c>
      <c r="G43" s="200">
        <f t="shared" si="23"/>
        <v>4.685134779535538E-2</v>
      </c>
      <c r="I43" s="11" t="str">
        <f>I32</f>
        <v>Associate professional occupations</v>
      </c>
      <c r="J43" s="11">
        <v>1244.5024448695954</v>
      </c>
      <c r="K43" s="11">
        <v>1350.9025544303968</v>
      </c>
      <c r="L43" s="11">
        <v>106.40010956080125</v>
      </c>
      <c r="M43" s="11">
        <v>652.26940164905841</v>
      </c>
      <c r="N43" s="11">
        <v>758.66951120985959</v>
      </c>
      <c r="P43" s="10" t="str">
        <f>name!D11</f>
        <v>32 Health and social care associate professionals</v>
      </c>
      <c r="Q43" s="11">
        <v>438.87726586328404</v>
      </c>
      <c r="R43" s="11">
        <v>506.09638642414427</v>
      </c>
      <c r="S43" s="342">
        <f t="shared" si="24"/>
        <v>67.219120560860233</v>
      </c>
      <c r="T43" s="342">
        <v>281.59358020033841</v>
      </c>
      <c r="U43" s="342">
        <f t="shared" si="25"/>
        <v>348.81270076119864</v>
      </c>
      <c r="V43" s="343">
        <f t="shared" si="26"/>
        <v>3.3597749723232484E-2</v>
      </c>
      <c r="W43" s="343"/>
      <c r="X43" s="10" t="str">
        <f>name!A40</f>
        <v>Warehousing, etc</v>
      </c>
      <c r="Y43" s="10">
        <v>504.0020000001943</v>
      </c>
      <c r="Z43" s="10">
        <v>544.5510000002613</v>
      </c>
      <c r="AA43" s="342">
        <f t="shared" si="8"/>
        <v>40.549000000066997</v>
      </c>
      <c r="AB43" s="10">
        <v>234.11624626050525</v>
      </c>
      <c r="AC43" s="342">
        <f t="shared" si="9"/>
        <v>274.66524626057225</v>
      </c>
      <c r="AD43" s="343">
        <f t="shared" si="10"/>
        <v>2.5761147612810786E-2</v>
      </c>
    </row>
    <row r="44" spans="1:30" x14ac:dyDescent="0.3">
      <c r="A44" t="str">
        <f t="shared" si="20"/>
        <v>33 Protective service occupations</v>
      </c>
      <c r="B44" s="11">
        <v>1.3190325601603494</v>
      </c>
      <c r="C44" s="11">
        <v>3.7375492221375914</v>
      </c>
      <c r="D44" s="11">
        <f t="shared" si="21"/>
        <v>2.4185166619772422</v>
      </c>
      <c r="E44" s="11">
        <v>0.92813425508777936</v>
      </c>
      <c r="F44" s="11">
        <f t="shared" si="22"/>
        <v>3.3466509170650216</v>
      </c>
      <c r="G44" s="200">
        <f t="shared" si="23"/>
        <v>3.6156414175402496E-2</v>
      </c>
      <c r="I44" s="11" t="str">
        <f>I33</f>
        <v>Administrative and secretarial occupations</v>
      </c>
      <c r="J44" s="11">
        <v>632.02317465211172</v>
      </c>
      <c r="K44" s="11">
        <v>813.4406960419675</v>
      </c>
      <c r="L44" s="11">
        <v>181.41752138985578</v>
      </c>
      <c r="M44" s="11">
        <v>414.02171413057931</v>
      </c>
      <c r="N44" s="11">
        <v>595.43923552043509</v>
      </c>
      <c r="P44" s="10" t="str">
        <f>name!D12</f>
        <v>33 Protective service occupations</v>
      </c>
      <c r="Q44" s="11">
        <v>81.683205259849089</v>
      </c>
      <c r="R44" s="11">
        <v>144.74862894900483</v>
      </c>
      <c r="S44" s="342">
        <f t="shared" si="24"/>
        <v>63.065423689155736</v>
      </c>
      <c r="T44" s="342">
        <v>57.99254854134918</v>
      </c>
      <c r="U44" s="342">
        <f t="shared" si="25"/>
        <v>121.05797223050492</v>
      </c>
      <c r="V44" s="343">
        <f t="shared" si="26"/>
        <v>3.6412280155705412E-2</v>
      </c>
      <c r="W44" s="343"/>
      <c r="X44" s="10" t="str">
        <f>name!A41</f>
        <v>Postal and courier</v>
      </c>
      <c r="Y44" s="10">
        <v>282.9890000003781</v>
      </c>
      <c r="Z44" s="10">
        <v>310.32599999871832</v>
      </c>
      <c r="AA44" s="342">
        <f t="shared" si="8"/>
        <v>27.336999998340218</v>
      </c>
      <c r="AB44" s="10">
        <v>141.91202185757157</v>
      </c>
      <c r="AC44" s="342">
        <f t="shared" si="9"/>
        <v>169.24902185591179</v>
      </c>
      <c r="AD44" s="343">
        <f t="shared" si="10"/>
        <v>2.7466998161625122E-2</v>
      </c>
    </row>
    <row r="45" spans="1:30" x14ac:dyDescent="0.3">
      <c r="A45" t="str">
        <f t="shared" si="20"/>
        <v>34 Culture, media and sports occupations</v>
      </c>
      <c r="B45" s="11">
        <v>8.6003718913058691</v>
      </c>
      <c r="C45" s="11">
        <v>14.603834046997294</v>
      </c>
      <c r="D45" s="11">
        <f t="shared" ref="D45:D46" si="27">C45-B45</f>
        <v>6.0034621556914249</v>
      </c>
      <c r="E45" s="11">
        <v>6.2087578898738878</v>
      </c>
      <c r="F45" s="11">
        <f t="shared" ref="F45:F46" si="28">SUM(D45:E45)</f>
        <v>12.212220045565314</v>
      </c>
      <c r="G45" s="200">
        <f t="shared" si="23"/>
        <v>3.6893504426332546E-2</v>
      </c>
      <c r="I45" s="11" t="str">
        <f t="shared" ref="I45:I49" si="29">I34</f>
        <v>Skilled trades occupations</v>
      </c>
      <c r="J45" s="11">
        <v>175.27802173409719</v>
      </c>
      <c r="K45" s="11">
        <v>276.14513904461046</v>
      </c>
      <c r="L45" s="11">
        <v>100.86711731051321</v>
      </c>
      <c r="M45" s="11">
        <v>131.03968311091035</v>
      </c>
      <c r="N45" s="11">
        <v>231.9068004214235</v>
      </c>
      <c r="P45" s="10" t="str">
        <f>name!D13</f>
        <v>34 Culture, media and sports occupations</v>
      </c>
      <c r="Q45" s="11">
        <v>328.80917681702982</v>
      </c>
      <c r="R45" s="11">
        <v>359.8698043571124</v>
      </c>
      <c r="S45" s="342">
        <f t="shared" si="24"/>
        <v>31.060627540082578</v>
      </c>
      <c r="T45" s="342">
        <v>180.12360849435532</v>
      </c>
      <c r="U45" s="342">
        <f t="shared" si="25"/>
        <v>211.1842360344379</v>
      </c>
      <c r="V45" s="343">
        <f t="shared" si="26"/>
        <v>2.9550767289384661E-2</v>
      </c>
      <c r="W45" s="343"/>
      <c r="X45" s="10" t="str">
        <f>name!A42</f>
        <v>Accommodation</v>
      </c>
      <c r="Y45" s="10">
        <v>400.30100000175941</v>
      </c>
      <c r="Z45" s="10">
        <v>487.12099999755532</v>
      </c>
      <c r="AA45" s="342">
        <f t="shared" si="8"/>
        <v>86.819999995795911</v>
      </c>
      <c r="AB45" s="10">
        <v>232.0261600137232</v>
      </c>
      <c r="AC45" s="342">
        <f t="shared" si="9"/>
        <v>318.84616000951911</v>
      </c>
      <c r="AD45" s="343">
        <f t="shared" si="10"/>
        <v>3.0948594165261634E-2</v>
      </c>
    </row>
    <row r="46" spans="1:30" x14ac:dyDescent="0.3">
      <c r="A46" t="str">
        <f t="shared" si="20"/>
        <v>35 Business and public service associate professionals</v>
      </c>
      <c r="B46" s="11">
        <v>30.699691305221421</v>
      </c>
      <c r="C46" s="11">
        <v>60.287471426689763</v>
      </c>
      <c r="D46" s="11">
        <f t="shared" si="27"/>
        <v>29.587780121468342</v>
      </c>
      <c r="E46" s="11">
        <v>21.739431263179551</v>
      </c>
      <c r="F46" s="11">
        <f t="shared" si="28"/>
        <v>51.327211384647896</v>
      </c>
      <c r="G46" s="200">
        <f t="shared" si="23"/>
        <v>3.6338010052616054E-2</v>
      </c>
      <c r="I46" s="11" t="str">
        <f t="shared" si="29"/>
        <v>Caring, leisure and other service occupations</v>
      </c>
      <c r="J46" s="11">
        <v>341.02998716727313</v>
      </c>
      <c r="K46" s="11">
        <v>512.39702541866325</v>
      </c>
      <c r="L46" s="11">
        <v>171.36703825139014</v>
      </c>
      <c r="M46" s="11">
        <v>281.28957417893321</v>
      </c>
      <c r="N46" s="11">
        <v>452.65661243032326</v>
      </c>
      <c r="P46" s="10" t="str">
        <f>name!D14</f>
        <v>35 Business and public service associate professionals</v>
      </c>
      <c r="Q46" s="11">
        <v>939.04357251018348</v>
      </c>
      <c r="R46" s="11">
        <v>1025.0824111516172</v>
      </c>
      <c r="S46" s="342">
        <f t="shared" si="24"/>
        <v>86.038838641433699</v>
      </c>
      <c r="T46" s="342">
        <v>521.0019229279651</v>
      </c>
      <c r="U46" s="342">
        <f t="shared" si="25"/>
        <v>607.0407615693988</v>
      </c>
      <c r="V46" s="343">
        <f t="shared" si="26"/>
        <v>2.9861231311473668E-2</v>
      </c>
      <c r="W46" s="343"/>
      <c r="X46" s="10" t="str">
        <f>name!A43</f>
        <v>Food and beverage services</v>
      </c>
      <c r="Y46" s="10">
        <v>1635.7980000079976</v>
      </c>
      <c r="Z46" s="10">
        <v>1954.2389999910117</v>
      </c>
      <c r="AA46" s="342">
        <f t="shared" si="8"/>
        <v>318.44099998301408</v>
      </c>
      <c r="AB46" s="10">
        <v>888.62157876864683</v>
      </c>
      <c r="AC46" s="342">
        <f t="shared" si="9"/>
        <v>1207.062578751661</v>
      </c>
      <c r="AD46" s="343">
        <f t="shared" si="10"/>
        <v>2.9347761628331526E-2</v>
      </c>
    </row>
    <row r="47" spans="1:30" x14ac:dyDescent="0.3">
      <c r="A47" t="str">
        <f t="shared" si="20"/>
        <v>41 Administrative occupations</v>
      </c>
      <c r="B47" s="11">
        <v>16.497352804523402</v>
      </c>
      <c r="C47" s="11">
        <v>33.060321301144043</v>
      </c>
      <c r="D47" s="11">
        <f t="shared" si="21"/>
        <v>16.562968496620641</v>
      </c>
      <c r="E47" s="11">
        <v>12.997934782514715</v>
      </c>
      <c r="F47" s="11">
        <f t="shared" si="22"/>
        <v>29.560903279135356</v>
      </c>
      <c r="G47" s="200">
        <f t="shared" si="23"/>
        <v>3.9495367380756541E-2</v>
      </c>
      <c r="I47" s="11" t="str">
        <f t="shared" si="29"/>
        <v>Sales and customer service occupations</v>
      </c>
      <c r="J47" s="11">
        <v>349.21149374980058</v>
      </c>
      <c r="K47" s="11">
        <v>514.51555901261702</v>
      </c>
      <c r="L47" s="11">
        <v>165.30406526281644</v>
      </c>
      <c r="M47" s="11">
        <v>234.19245825111111</v>
      </c>
      <c r="N47" s="11">
        <v>399.49652351392757</v>
      </c>
      <c r="P47" s="10" t="str">
        <f>name!D15</f>
        <v>41 Administrative occupations</v>
      </c>
      <c r="Q47" s="11">
        <v>1752.6230130138795</v>
      </c>
      <c r="R47" s="11">
        <v>1401.1804913952133</v>
      </c>
      <c r="S47" s="342">
        <f t="shared" si="24"/>
        <v>-351.44252161866621</v>
      </c>
      <c r="T47" s="342">
        <v>869.59460712808288</v>
      </c>
      <c r="U47" s="342">
        <f t="shared" si="25"/>
        <v>518.15208550941668</v>
      </c>
      <c r="V47" s="343">
        <f t="shared" si="26"/>
        <v>2.7224450391652999E-2</v>
      </c>
      <c r="W47" s="343"/>
      <c r="X47" s="10" t="str">
        <f>name!A44</f>
        <v>Publishing activities</v>
      </c>
      <c r="Y47" s="10">
        <v>148.25099999984704</v>
      </c>
      <c r="Z47" s="10">
        <v>149.36400000100974</v>
      </c>
      <c r="AA47" s="342">
        <f t="shared" si="8"/>
        <v>1.1130000011627033</v>
      </c>
      <c r="AB47" s="10">
        <v>69.903723394994813</v>
      </c>
      <c r="AC47" s="342">
        <f t="shared" si="9"/>
        <v>71.016723396157516</v>
      </c>
      <c r="AD47" s="343">
        <f t="shared" si="10"/>
        <v>2.6087662923543808E-2</v>
      </c>
    </row>
    <row r="48" spans="1:30" x14ac:dyDescent="0.3">
      <c r="A48" t="str">
        <f t="shared" si="20"/>
        <v>42 Secretarial and related occupations</v>
      </c>
      <c r="B48" s="11">
        <v>1.4997361243583505</v>
      </c>
      <c r="C48" s="11">
        <v>4.9425700069960392</v>
      </c>
      <c r="D48" s="11">
        <f t="shared" si="21"/>
        <v>3.4428338826376885</v>
      </c>
      <c r="E48" s="11">
        <v>2.0758150990873823</v>
      </c>
      <c r="F48" s="11">
        <f t="shared" si="22"/>
        <v>5.5186489817250708</v>
      </c>
      <c r="G48" s="200">
        <f t="shared" si="23"/>
        <v>5.9632353674782257E-2</v>
      </c>
      <c r="I48" s="11" t="str">
        <f t="shared" si="29"/>
        <v>Process, plant and machine operatives</v>
      </c>
      <c r="J48" s="11">
        <v>83.12710111724617</v>
      </c>
      <c r="K48" s="11">
        <v>163.73673788116469</v>
      </c>
      <c r="L48" s="11">
        <v>80.609636763918502</v>
      </c>
      <c r="M48" s="11">
        <v>78.788964589278834</v>
      </c>
      <c r="N48" s="11">
        <v>159.39860135319734</v>
      </c>
      <c r="P48" s="10" t="str">
        <f>name!D16</f>
        <v>42 Secretarial and related occupations</v>
      </c>
      <c r="Q48" s="11">
        <v>537.75583086200299</v>
      </c>
      <c r="R48" s="11">
        <v>418.32446896030871</v>
      </c>
      <c r="S48" s="342">
        <f t="shared" si="24"/>
        <v>-119.43136190169429</v>
      </c>
      <c r="T48" s="342">
        <v>278.48324060377394</v>
      </c>
      <c r="U48" s="342">
        <f t="shared" si="25"/>
        <v>159.05187870207965</v>
      </c>
      <c r="V48" s="343">
        <f t="shared" si="26"/>
        <v>2.8210773607418638E-2</v>
      </c>
      <c r="W48" s="343"/>
      <c r="X48" s="10" t="str">
        <f>name!A45</f>
        <v>Film and music</v>
      </c>
      <c r="Y48" s="10">
        <v>154.98300000068369</v>
      </c>
      <c r="Z48" s="10">
        <v>161.03200000165717</v>
      </c>
      <c r="AA48" s="342">
        <f t="shared" si="8"/>
        <v>6.0490000009734786</v>
      </c>
      <c r="AB48" s="10">
        <v>77.816989884357412</v>
      </c>
      <c r="AC48" s="342">
        <f t="shared" si="9"/>
        <v>83.86598988533089</v>
      </c>
      <c r="AD48" s="343">
        <f t="shared" si="10"/>
        <v>2.7495494634389273E-2</v>
      </c>
    </row>
    <row r="49" spans="1:30" x14ac:dyDescent="0.3">
      <c r="A49" t="str">
        <f t="shared" si="20"/>
        <v>51 Skilled agricultural and related trades</v>
      </c>
      <c r="B49" s="11">
        <v>0.80277462711026393</v>
      </c>
      <c r="C49" s="11">
        <v>1.5963372243833127</v>
      </c>
      <c r="D49" s="11">
        <f t="shared" si="21"/>
        <v>0.79356259727304879</v>
      </c>
      <c r="E49" s="11">
        <v>0.83954194101560387</v>
      </c>
      <c r="F49" s="11">
        <f t="shared" si="22"/>
        <v>1.6331045382886527</v>
      </c>
      <c r="G49" s="200">
        <f t="shared" si="23"/>
        <v>4.8876163315519694E-2</v>
      </c>
      <c r="I49" s="11" t="str">
        <f t="shared" si="29"/>
        <v>Elementary occupations</v>
      </c>
      <c r="J49" s="11">
        <v>250.4452018104395</v>
      </c>
      <c r="K49" s="11">
        <v>388.24969671923083</v>
      </c>
      <c r="L49" s="11">
        <v>137.80449490879136</v>
      </c>
      <c r="M49" s="11">
        <v>208.27779420938973</v>
      </c>
      <c r="N49" s="11">
        <v>346.08228911818105</v>
      </c>
      <c r="P49" s="10" t="str">
        <f>name!D17</f>
        <v>51 Skilled agricultural and related trades</v>
      </c>
      <c r="Q49" s="11">
        <v>54.746357413507347</v>
      </c>
      <c r="R49" s="11">
        <v>76.434064494706206</v>
      </c>
      <c r="S49" s="342">
        <f t="shared" si="24"/>
        <v>21.687707081198859</v>
      </c>
      <c r="T49" s="342">
        <v>45.686726322137183</v>
      </c>
      <c r="U49" s="342">
        <f t="shared" si="25"/>
        <v>67.374433403336042</v>
      </c>
      <c r="V49" s="343">
        <f>IF(Q49&gt;0,(1+(T49/Q49))^(1/($C$6-$B$6))-1,0)</f>
        <v>4.1281385105122359E-2</v>
      </c>
      <c r="W49" s="343"/>
      <c r="X49" s="10" t="str">
        <f>name!A46</f>
        <v>Broadcasting</v>
      </c>
      <c r="Y49" s="10">
        <v>45.136000000191835</v>
      </c>
      <c r="Z49" s="10">
        <v>46.219000000660934</v>
      </c>
      <c r="AA49" s="342">
        <f t="shared" si="8"/>
        <v>1.0830000004690987</v>
      </c>
      <c r="AB49" s="10">
        <v>21.390630956424548</v>
      </c>
      <c r="AC49" s="342">
        <f t="shared" si="9"/>
        <v>22.473630956893647</v>
      </c>
      <c r="AD49" s="343">
        <f t="shared" si="10"/>
        <v>2.6198788117359539E-2</v>
      </c>
    </row>
    <row r="50" spans="1:30" x14ac:dyDescent="0.3">
      <c r="A50" t="str">
        <f t="shared" si="20"/>
        <v>52 Skilled metal, electrical and electronic trades</v>
      </c>
      <c r="B50" s="11">
        <v>1.2691295115349592</v>
      </c>
      <c r="C50" s="11">
        <v>2.7196567518126717</v>
      </c>
      <c r="D50" s="11">
        <f t="shared" si="21"/>
        <v>1.4505272402777125</v>
      </c>
      <c r="E50" s="11">
        <v>0.90414369394377281</v>
      </c>
      <c r="F50" s="11">
        <f>SUM(D50:E50)</f>
        <v>2.3546709342214855</v>
      </c>
      <c r="G50" s="200">
        <f t="shared" si="23"/>
        <v>3.6510944517919475E-2</v>
      </c>
      <c r="O50" s="70"/>
      <c r="P50" s="10" t="str">
        <f>name!D18</f>
        <v>52 Skilled metal, electrical and electronic trades</v>
      </c>
      <c r="Q50" s="11">
        <v>23.473031777086184</v>
      </c>
      <c r="R50" s="11">
        <v>67.27497872179913</v>
      </c>
      <c r="S50" s="342">
        <f t="shared" si="24"/>
        <v>43.801946944712945</v>
      </c>
      <c r="T50" s="342">
        <v>31.189495946199699</v>
      </c>
      <c r="U50" s="342">
        <f t="shared" si="25"/>
        <v>74.991442890912651</v>
      </c>
      <c r="V50" s="343">
        <f t="shared" si="26"/>
        <v>5.7973285424768539E-2</v>
      </c>
      <c r="W50" s="343"/>
      <c r="X50" s="10" t="str">
        <f>name!A47</f>
        <v>Telecommunications</v>
      </c>
      <c r="Y50" s="10">
        <v>178.70999999877671</v>
      </c>
      <c r="Z50" s="10">
        <v>205.37199999956093</v>
      </c>
      <c r="AA50" s="342">
        <f t="shared" si="8"/>
        <v>26.662000000784218</v>
      </c>
      <c r="AB50" s="10">
        <v>82.495145123485827</v>
      </c>
      <c r="AC50" s="342">
        <f t="shared" si="9"/>
        <v>109.15714512427004</v>
      </c>
      <c r="AD50" s="343">
        <f t="shared" si="10"/>
        <v>2.5625613460067198E-2</v>
      </c>
    </row>
    <row r="51" spans="1:30" x14ac:dyDescent="0.3">
      <c r="A51" t="str">
        <f t="shared" si="20"/>
        <v>53 Skilled construction and building trades</v>
      </c>
      <c r="B51" s="11">
        <v>0.30944127302738861</v>
      </c>
      <c r="C51" s="11">
        <v>0.7505436671905652</v>
      </c>
      <c r="D51" s="11">
        <f t="shared" ref="D51" si="30">C51-B51</f>
        <v>0.44110239416317659</v>
      </c>
      <c r="E51" s="11">
        <v>0.27723123728819465</v>
      </c>
      <c r="F51" s="11">
        <f>SUM(D51:E51)</f>
        <v>0.7183336314513713</v>
      </c>
      <c r="G51" s="200">
        <f t="shared" si="23"/>
        <v>4.3568992992745192E-2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18.520535026156988</v>
      </c>
      <c r="R51" s="11">
        <v>24.873956786388767</v>
      </c>
      <c r="S51" s="342">
        <f t="shared" si="24"/>
        <v>6.3534217602317788</v>
      </c>
      <c r="T51" s="342">
        <v>11.775796723368103</v>
      </c>
      <c r="U51" s="342">
        <f t="shared" si="25"/>
        <v>18.129218483599882</v>
      </c>
      <c r="V51" s="343">
        <f t="shared" si="26"/>
        <v>3.3353943755737081E-2</v>
      </c>
      <c r="W51" s="343"/>
      <c r="X51" s="10" t="str">
        <f>name!A48</f>
        <v>Computing services</v>
      </c>
      <c r="Y51" s="10">
        <v>733.45199999670751</v>
      </c>
      <c r="Z51" s="10">
        <v>851.37299999933191</v>
      </c>
      <c r="AA51" s="342">
        <f t="shared" si="8"/>
        <v>117.9210000026244</v>
      </c>
      <c r="AB51" s="10">
        <v>350.13559058611577</v>
      </c>
      <c r="AC51" s="342">
        <f t="shared" si="9"/>
        <v>468.05659058874016</v>
      </c>
      <c r="AD51" s="343">
        <f t="shared" si="10"/>
        <v>2.6359457149781162E-2</v>
      </c>
    </row>
    <row r="52" spans="1:30" x14ac:dyDescent="0.3">
      <c r="A52" t="str">
        <f t="shared" si="20"/>
        <v>54 Textiles, printing and other skilled trades</v>
      </c>
      <c r="B52" s="11">
        <v>2.1585895424819643</v>
      </c>
      <c r="C52" s="11">
        <v>4.5814888489681787</v>
      </c>
      <c r="D52" s="11">
        <f t="shared" si="21"/>
        <v>2.4228993064862143</v>
      </c>
      <c r="E52" s="11">
        <v>1.7812266793598395</v>
      </c>
      <c r="F52" s="11">
        <f t="shared" si="22"/>
        <v>4.204125985846054</v>
      </c>
      <c r="G52" s="200">
        <f t="shared" si="23"/>
        <v>4.0927286240730387E-2</v>
      </c>
      <c r="I52" s="11" t="str">
        <f>I41</f>
        <v>Managers, directors and senior officials</v>
      </c>
      <c r="J52" s="11">
        <f t="array" ref="J52:J60">MMULT(aggregation!$B$38:$AA$46,B123:B148)</f>
        <v>192.84546427151088</v>
      </c>
      <c r="K52" s="11">
        <f t="array" ref="K52:K60">MMULT(aggregation!$B$38:$AA$46,C123:C148)</f>
        <v>222.09299382147861</v>
      </c>
      <c r="L52" s="11">
        <f t="array" ref="L52:L60">MMULT(aggregation!$B$38:$AA$46,D123:D148)</f>
        <v>29.247529549967766</v>
      </c>
      <c r="M52" s="11">
        <f t="array" ref="M52:M60">MMULT(aggregation!$B$38:$AA$46,E123:E148)</f>
        <v>118.28376704122689</v>
      </c>
      <c r="N52" s="11">
        <f t="array" ref="N52:N60">MMULT(aggregation!$B$38:$AA$46,F123:F148)</f>
        <v>147.53129659119466</v>
      </c>
      <c r="P52" s="10" t="str">
        <f>name!D20</f>
        <v>54 Textiles, printing and other skilled trades</v>
      </c>
      <c r="Q52" s="11">
        <v>226.09309750491133</v>
      </c>
      <c r="R52" s="11">
        <v>231.63809994412549</v>
      </c>
      <c r="S52" s="342">
        <f t="shared" si="24"/>
        <v>5.5450024392141586</v>
      </c>
      <c r="T52" s="342">
        <v>132.73071425241523</v>
      </c>
      <c r="U52" s="342">
        <f t="shared" si="25"/>
        <v>138.27571669162938</v>
      </c>
      <c r="V52" s="343">
        <f t="shared" si="26"/>
        <v>3.1271296402480608E-2</v>
      </c>
      <c r="W52" s="343"/>
      <c r="X52" s="10" t="str">
        <f>name!A49</f>
        <v>Information services</v>
      </c>
      <c r="Y52" s="10">
        <v>88.937999999848799</v>
      </c>
      <c r="Z52" s="10">
        <v>105.16800000010385</v>
      </c>
      <c r="AA52" s="342">
        <f t="shared" si="8"/>
        <v>16.230000000255046</v>
      </c>
      <c r="AB52" s="10">
        <v>44.974855937484008</v>
      </c>
      <c r="AC52" s="342">
        <f t="shared" si="9"/>
        <v>61.204855937739055</v>
      </c>
      <c r="AD52" s="343">
        <f t="shared" si="10"/>
        <v>2.7658915230462933E-2</v>
      </c>
    </row>
    <row r="53" spans="1:30" x14ac:dyDescent="0.3">
      <c r="A53" t="str">
        <f t="shared" si="20"/>
        <v>61 Caring personal service occupations</v>
      </c>
      <c r="B53" s="11">
        <v>1.870152888765823</v>
      </c>
      <c r="C53" s="11">
        <v>4.7872662733850557</v>
      </c>
      <c r="D53" s="11">
        <f t="shared" si="21"/>
        <v>2.917113384619233</v>
      </c>
      <c r="E53" s="11">
        <v>1.8636641713172921</v>
      </c>
      <c r="F53" s="11">
        <f t="shared" si="22"/>
        <v>4.7807775559365249</v>
      </c>
      <c r="G53" s="200">
        <f t="shared" si="23"/>
        <v>4.7172900942448637E-2</v>
      </c>
      <c r="I53" s="11" t="str">
        <f>I42</f>
        <v>Professional occupations</v>
      </c>
      <c r="J53" s="11">
        <v>339.39667908214426</v>
      </c>
      <c r="K53" s="11">
        <v>212.47400661667896</v>
      </c>
      <c r="L53" s="11">
        <v>-126.92267246546531</v>
      </c>
      <c r="M53" s="11">
        <v>96.776795556559321</v>
      </c>
      <c r="N53" s="11">
        <v>-30.14587690890599</v>
      </c>
      <c r="P53" s="10" t="str">
        <f>name!D21</f>
        <v>61 Caring personal service occupations</v>
      </c>
      <c r="Q53" s="11">
        <v>1713.009333099815</v>
      </c>
      <c r="R53" s="11">
        <v>1964.0288361684375</v>
      </c>
      <c r="S53" s="342">
        <f t="shared" si="24"/>
        <v>251.0195030686225</v>
      </c>
      <c r="T53" s="342">
        <v>1082.1293990459044</v>
      </c>
      <c r="U53" s="342">
        <f t="shared" si="25"/>
        <v>1333.1489021145269</v>
      </c>
      <c r="V53" s="343">
        <f t="shared" si="26"/>
        <v>3.3180599433815461E-2</v>
      </c>
      <c r="W53" s="343"/>
      <c r="X53" s="10" t="str">
        <f>name!A50</f>
        <v>Financial services</v>
      </c>
      <c r="Y53" s="10">
        <v>437.16499999870757</v>
      </c>
      <c r="Z53" s="10">
        <v>427.64500000202605</v>
      </c>
      <c r="AA53" s="342">
        <f t="shared" si="8"/>
        <v>-9.5199999966815199</v>
      </c>
      <c r="AB53" s="10">
        <v>210.40925564045529</v>
      </c>
      <c r="AC53" s="342">
        <f t="shared" si="9"/>
        <v>200.88925564377377</v>
      </c>
      <c r="AD53" s="343">
        <f t="shared" si="10"/>
        <v>2.6540951814145064E-2</v>
      </c>
    </row>
    <row r="54" spans="1:30" x14ac:dyDescent="0.3">
      <c r="A54" t="str">
        <f t="shared" si="20"/>
        <v>62 Leisure, travel and related personal service occupations</v>
      </c>
      <c r="B54" s="11">
        <v>1.0612079734628244</v>
      </c>
      <c r="C54" s="11">
        <v>2.5093205811311332</v>
      </c>
      <c r="D54" s="11">
        <f t="shared" ref="D54:D55" si="31">C54-B54</f>
        <v>1.4481126076683088</v>
      </c>
      <c r="E54" s="11">
        <v>0.99339518568499441</v>
      </c>
      <c r="F54" s="11">
        <f t="shared" ref="F54:F55" si="32">SUM(D54:E54)</f>
        <v>2.4415077933533031</v>
      </c>
      <c r="G54" s="200">
        <f t="shared" si="23"/>
        <v>4.5029370574039884E-2</v>
      </c>
      <c r="I54" s="11" t="str">
        <f>I43</f>
        <v>Associate professional occupations</v>
      </c>
      <c r="J54" s="11">
        <v>325.74764780457065</v>
      </c>
      <c r="K54" s="11">
        <v>315.43443440863967</v>
      </c>
      <c r="L54" s="11">
        <v>-10.313213395931012</v>
      </c>
      <c r="M54" s="11">
        <v>144.71505244474724</v>
      </c>
      <c r="N54" s="11">
        <v>134.40183904881621</v>
      </c>
      <c r="P54" s="10" t="str">
        <f>name!D22</f>
        <v>62 Leisure, travel and related personal service occupations</v>
      </c>
      <c r="Q54" s="11">
        <v>428.3314209079445</v>
      </c>
      <c r="R54" s="11">
        <v>438.37596135232826</v>
      </c>
      <c r="S54" s="342">
        <f t="shared" si="24"/>
        <v>10.044540444383756</v>
      </c>
      <c r="T54" s="342">
        <v>236.93161035206495</v>
      </c>
      <c r="U54" s="342">
        <f t="shared" si="25"/>
        <v>246.97615079644871</v>
      </c>
      <c r="V54" s="343">
        <f t="shared" si="26"/>
        <v>2.9787376438023649E-2</v>
      </c>
      <c r="W54" s="343"/>
      <c r="X54" s="10" t="str">
        <f>name!A51</f>
        <v>Insurance and pensions</v>
      </c>
      <c r="Y54" s="10">
        <v>118.36399999937389</v>
      </c>
      <c r="Z54" s="10">
        <v>112.34300000020784</v>
      </c>
      <c r="AA54" s="342">
        <f t="shared" si="8"/>
        <v>-6.020999999166051</v>
      </c>
      <c r="AB54" s="10">
        <v>57.489552751959721</v>
      </c>
      <c r="AC54" s="342">
        <f t="shared" si="9"/>
        <v>51.46855275279367</v>
      </c>
      <c r="AD54" s="343">
        <f t="shared" si="10"/>
        <v>2.6743828022170124E-2</v>
      </c>
    </row>
    <row r="55" spans="1:30" x14ac:dyDescent="0.3">
      <c r="A55" t="str">
        <f t="shared" si="20"/>
        <v>63 Community and civil enforcement occupations</v>
      </c>
      <c r="B55" s="11">
        <v>7.9224082411265662E-2</v>
      </c>
      <c r="C55" s="11">
        <v>0.16732085929252233</v>
      </c>
      <c r="D55" s="11">
        <f t="shared" si="31"/>
        <v>8.8096776881256667E-2</v>
      </c>
      <c r="E55" s="11">
        <v>6.8180156911820389E-2</v>
      </c>
      <c r="F55" s="11">
        <f t="shared" si="32"/>
        <v>0.15627693379307706</v>
      </c>
      <c r="G55" s="200">
        <f t="shared" si="23"/>
        <v>4.2261871286964681E-2</v>
      </c>
      <c r="I55" s="11" t="str">
        <f>I44</f>
        <v>Administrative and secretarial occupations</v>
      </c>
      <c r="J55" s="11">
        <v>235.49194934684155</v>
      </c>
      <c r="K55" s="11">
        <v>278.50346713956259</v>
      </c>
      <c r="L55" s="11">
        <v>43.01151779272103</v>
      </c>
      <c r="M55" s="11">
        <v>153.51715590033038</v>
      </c>
      <c r="N55" s="11">
        <v>196.52867369305142</v>
      </c>
      <c r="P55" s="10" t="str">
        <f>name!D23</f>
        <v>63 Community and civil enforcement occupations</v>
      </c>
      <c r="Q55" s="11">
        <v>7.0323452975752208</v>
      </c>
      <c r="R55" s="11">
        <v>9.1923185743974862</v>
      </c>
      <c r="S55" s="342">
        <f t="shared" si="24"/>
        <v>2.1599732768222655</v>
      </c>
      <c r="T55" s="342">
        <v>5.7683040002905583</v>
      </c>
      <c r="U55" s="342">
        <f t="shared" si="25"/>
        <v>7.9282772771128238</v>
      </c>
      <c r="V55" s="343">
        <f t="shared" si="26"/>
        <v>4.073969847938641E-2</v>
      </c>
      <c r="W55" s="343"/>
      <c r="X55" s="10" t="str">
        <f>name!A52</f>
        <v>Auxiliary financial services</v>
      </c>
      <c r="Y55" s="10">
        <v>449.63699999901047</v>
      </c>
      <c r="Z55" s="10">
        <v>441.79300000275401</v>
      </c>
      <c r="AA55" s="342">
        <f t="shared" si="8"/>
        <v>-7.8439999962564571</v>
      </c>
      <c r="AB55" s="10">
        <v>217.07620062199828</v>
      </c>
      <c r="AC55" s="342">
        <f t="shared" si="9"/>
        <v>209.23220062574183</v>
      </c>
      <c r="AD55" s="343">
        <f t="shared" si="10"/>
        <v>2.6609158109740738E-2</v>
      </c>
    </row>
    <row r="56" spans="1:30" x14ac:dyDescent="0.3">
      <c r="A56" t="str">
        <f t="shared" si="20"/>
        <v>71 Sales occupations</v>
      </c>
      <c r="B56" s="11">
        <v>4.9672291800846011</v>
      </c>
      <c r="C56" s="11">
        <v>9.1952011615562537</v>
      </c>
      <c r="D56" s="11">
        <f t="shared" si="21"/>
        <v>4.2279719814716525</v>
      </c>
      <c r="E56" s="11">
        <v>3.3400066782982831</v>
      </c>
      <c r="F56" s="11">
        <f t="shared" si="22"/>
        <v>7.5679786597699357</v>
      </c>
      <c r="G56" s="200">
        <f t="shared" si="23"/>
        <v>3.4878798165390412E-2</v>
      </c>
      <c r="I56" s="11" t="str">
        <f t="shared" ref="I56:I60" si="33">I45</f>
        <v>Skilled trades occupations</v>
      </c>
      <c r="J56" s="11">
        <v>77.561766554427194</v>
      </c>
      <c r="K56" s="11">
        <v>112.90481923412162</v>
      </c>
      <c r="L56" s="11">
        <v>35.343052679694424</v>
      </c>
      <c r="M56" s="11">
        <v>55.705382513405084</v>
      </c>
      <c r="N56" s="11">
        <v>91.048435193099508</v>
      </c>
      <c r="P56" s="10" t="str">
        <f>name!D24</f>
        <v>71 Sales occupations</v>
      </c>
      <c r="Q56" s="11">
        <v>1080.6558997762857</v>
      </c>
      <c r="R56" s="11">
        <v>923.92953561000832</v>
      </c>
      <c r="S56" s="342">
        <f t="shared" si="24"/>
        <v>-156.72636416627734</v>
      </c>
      <c r="T56" s="342">
        <v>540.22511503063356</v>
      </c>
      <c r="U56" s="342">
        <f t="shared" si="25"/>
        <v>383.49875086435623</v>
      </c>
      <c r="V56" s="343">
        <f t="shared" si="26"/>
        <v>2.7395313734569049E-2</v>
      </c>
      <c r="W56" s="343"/>
      <c r="X56" s="10" t="str">
        <f>name!A53</f>
        <v>Real estate</v>
      </c>
      <c r="Y56" s="10">
        <v>566.08499999823994</v>
      </c>
      <c r="Z56" s="10">
        <v>597.86399999991784</v>
      </c>
      <c r="AA56" s="342">
        <f t="shared" si="8"/>
        <v>31.7790000016779</v>
      </c>
      <c r="AB56" s="10">
        <v>279.29445482989269</v>
      </c>
      <c r="AC56" s="342">
        <f t="shared" si="9"/>
        <v>311.07345483157059</v>
      </c>
      <c r="AD56" s="343">
        <f t="shared" si="10"/>
        <v>2.7096705347932071E-2</v>
      </c>
    </row>
    <row r="57" spans="1:30" x14ac:dyDescent="0.3">
      <c r="A57" t="str">
        <f t="shared" si="20"/>
        <v>72 Customer service occupations</v>
      </c>
      <c r="B57" s="11">
        <v>2.1830937583502994</v>
      </c>
      <c r="C57" s="11">
        <v>6.3846161615322865</v>
      </c>
      <c r="D57" s="11">
        <f t="shared" si="21"/>
        <v>4.2015224031819871</v>
      </c>
      <c r="E57" s="11">
        <v>2.0973250282719875</v>
      </c>
      <c r="F57" s="11">
        <f t="shared" si="22"/>
        <v>6.2988474314539751</v>
      </c>
      <c r="G57" s="200">
        <f t="shared" si="23"/>
        <v>4.5909862501315457E-2</v>
      </c>
      <c r="I57" s="11" t="str">
        <f t="shared" si="33"/>
        <v>Caring, leisure and other service occupations</v>
      </c>
      <c r="J57" s="11">
        <v>258.92920147500843</v>
      </c>
      <c r="K57" s="11">
        <v>306.06877730861106</v>
      </c>
      <c r="L57" s="11">
        <v>47.13957583360262</v>
      </c>
      <c r="M57" s="11">
        <v>170.70275384063495</v>
      </c>
      <c r="N57" s="11">
        <v>217.84232967423759</v>
      </c>
      <c r="P57" s="10" t="str">
        <f>name!D25</f>
        <v>72 Customer service occupations</v>
      </c>
      <c r="Q57" s="11">
        <v>312.0078580771488</v>
      </c>
      <c r="R57" s="11">
        <v>427.21496131997407</v>
      </c>
      <c r="S57" s="342">
        <f t="shared" si="24"/>
        <v>115.20710324282527</v>
      </c>
      <c r="T57" s="342">
        <v>210.03008551311541</v>
      </c>
      <c r="U57" s="342">
        <f t="shared" si="25"/>
        <v>325.23718875594068</v>
      </c>
      <c r="V57" s="343">
        <f t="shared" si="26"/>
        <v>3.4909648424181539E-2</v>
      </c>
      <c r="W57" s="343"/>
      <c r="X57" s="10" t="str">
        <f>name!A54</f>
        <v>Legal and accounting</v>
      </c>
      <c r="Y57" s="10">
        <v>730.33899999637379</v>
      </c>
      <c r="Z57" s="10">
        <v>810.22500000583443</v>
      </c>
      <c r="AA57" s="342">
        <f t="shared" si="8"/>
        <v>79.886000009460645</v>
      </c>
      <c r="AB57" s="10">
        <v>388.92973211110456</v>
      </c>
      <c r="AC57" s="342">
        <f t="shared" si="9"/>
        <v>468.8157321205652</v>
      </c>
      <c r="AD57" s="343">
        <f t="shared" si="10"/>
        <v>2.8870365869489989E-2</v>
      </c>
    </row>
    <row r="58" spans="1:30" x14ac:dyDescent="0.3">
      <c r="A58" t="str">
        <f t="shared" si="20"/>
        <v>81 Process, plant and machine operatives</v>
      </c>
      <c r="B58" s="11">
        <v>1.3629367616863914</v>
      </c>
      <c r="C58" s="11">
        <v>4.9784627022702095</v>
      </c>
      <c r="D58" s="11">
        <f t="shared" ref="D58:D59" si="34">C58-B58</f>
        <v>3.6155259405838178</v>
      </c>
      <c r="E58" s="11">
        <v>1.6407883650540658</v>
      </c>
      <c r="F58" s="11">
        <f t="shared" ref="F58:F59" si="35">SUM(D58:E58)</f>
        <v>5.2563143056378836</v>
      </c>
      <c r="G58" s="200">
        <f t="shared" si="23"/>
        <v>5.4093087789354399E-2</v>
      </c>
      <c r="I58" s="11" t="str">
        <f t="shared" si="33"/>
        <v>Sales and customer service occupations</v>
      </c>
      <c r="J58" s="11">
        <v>112.87883360763618</v>
      </c>
      <c r="K58" s="11">
        <v>157.5723835753887</v>
      </c>
      <c r="L58" s="11">
        <v>44.69354996775251</v>
      </c>
      <c r="M58" s="11">
        <v>74.741856219772373</v>
      </c>
      <c r="N58" s="11">
        <v>119.43540618752489</v>
      </c>
      <c r="P58" s="10" t="str">
        <f>name!D26</f>
        <v>81 Process, plant and machine operatives</v>
      </c>
      <c r="Q58" s="11">
        <v>139.99484233801778</v>
      </c>
      <c r="R58" s="11">
        <v>178.00460630790263</v>
      </c>
      <c r="S58" s="342">
        <f t="shared" si="24"/>
        <v>38.009763969884858</v>
      </c>
      <c r="T58" s="342">
        <v>85.097696385767946</v>
      </c>
      <c r="U58" s="342">
        <f t="shared" si="25"/>
        <v>123.1074603556528</v>
      </c>
      <c r="V58" s="343">
        <f t="shared" si="26"/>
        <v>3.2166923226277344E-2</v>
      </c>
      <c r="W58" s="343"/>
      <c r="X58" s="10" t="str">
        <f>name!A55</f>
        <v>Head offices, etc</v>
      </c>
      <c r="Y58" s="10">
        <v>805.09299999550637</v>
      </c>
      <c r="Z58" s="10">
        <v>864.09700000349392</v>
      </c>
      <c r="AA58" s="342">
        <f t="shared" si="8"/>
        <v>59.004000007987543</v>
      </c>
      <c r="AB58" s="10">
        <v>406.83602121794746</v>
      </c>
      <c r="AC58" s="342">
        <f t="shared" si="9"/>
        <v>465.840021225935</v>
      </c>
      <c r="AD58" s="343">
        <f t="shared" si="10"/>
        <v>2.7642544141669667E-2</v>
      </c>
    </row>
    <row r="59" spans="1:30" x14ac:dyDescent="0.3">
      <c r="A59" t="str">
        <f t="shared" si="20"/>
        <v>82 Transport and mobile machine drivers and operatives</v>
      </c>
      <c r="B59" s="11">
        <v>3.2117085434088777</v>
      </c>
      <c r="C59" s="11">
        <v>9.9638966737141601</v>
      </c>
      <c r="D59" s="11">
        <f t="shared" si="34"/>
        <v>6.7521881303052824</v>
      </c>
      <c r="E59" s="11">
        <v>4.4271722064742312</v>
      </c>
      <c r="F59" s="11">
        <f t="shared" si="35"/>
        <v>11.179360336779514</v>
      </c>
      <c r="G59" s="200">
        <f t="shared" si="23"/>
        <v>5.9464087852403535E-2</v>
      </c>
      <c r="I59" s="11" t="str">
        <f t="shared" si="33"/>
        <v>Process, plant and machine operatives</v>
      </c>
      <c r="J59" s="11">
        <v>39.323290630692526</v>
      </c>
      <c r="K59" s="11">
        <v>71.134513320915886</v>
      </c>
      <c r="L59" s="11">
        <v>31.811222690223367</v>
      </c>
      <c r="M59" s="11">
        <v>34.738483132170465</v>
      </c>
      <c r="N59" s="11">
        <v>66.549705822393832</v>
      </c>
      <c r="P59" s="10" t="str">
        <f>name!D27</f>
        <v>82 Transport and mobile machine drivers and operatives</v>
      </c>
      <c r="Q59" s="11">
        <v>62.663474124240551</v>
      </c>
      <c r="R59" s="11">
        <v>105.77369496232032</v>
      </c>
      <c r="S59" s="342">
        <f t="shared" si="24"/>
        <v>43.110220838079769</v>
      </c>
      <c r="T59" s="342">
        <v>57.555874528867385</v>
      </c>
      <c r="U59" s="342">
        <f t="shared" si="25"/>
        <v>100.66609536694716</v>
      </c>
      <c r="V59" s="343">
        <f t="shared" si="26"/>
        <v>4.439309890316756E-2</v>
      </c>
      <c r="W59" s="343"/>
      <c r="X59" s="10" t="str">
        <f>name!A56</f>
        <v>Architectural and related</v>
      </c>
      <c r="Y59" s="10">
        <v>568.07999999607239</v>
      </c>
      <c r="Z59" s="10">
        <v>580.55500000152585</v>
      </c>
      <c r="AA59" s="342">
        <f t="shared" si="8"/>
        <v>12.475000005453467</v>
      </c>
      <c r="AB59" s="10">
        <v>258.56128114173345</v>
      </c>
      <c r="AC59" s="342">
        <f t="shared" si="9"/>
        <v>271.03628114718691</v>
      </c>
      <c r="AD59" s="343">
        <f t="shared" si="10"/>
        <v>2.5322543002361142E-2</v>
      </c>
    </row>
    <row r="60" spans="1:30" x14ac:dyDescent="0.3">
      <c r="A60" t="str">
        <f t="shared" si="20"/>
        <v>91 Elementary trades and related occupations</v>
      </c>
      <c r="B60" s="11">
        <v>2.05621386959495E-2</v>
      </c>
      <c r="C60" s="11">
        <v>3.862580254251801E-2</v>
      </c>
      <c r="D60" s="11">
        <f t="shared" si="21"/>
        <v>1.806366384656851E-2</v>
      </c>
      <c r="E60" s="11">
        <v>1.5998879892095415E-2</v>
      </c>
      <c r="F60" s="11">
        <f>SUM(D60:E60)</f>
        <v>3.4062543738663922E-2</v>
      </c>
      <c r="G60" s="200">
        <f t="shared" si="23"/>
        <v>3.9114328693471867E-2</v>
      </c>
      <c r="I60" s="11" t="str">
        <f t="shared" si="33"/>
        <v>Elementary occupations</v>
      </c>
      <c r="J60" s="11">
        <v>123.76708786408213</v>
      </c>
      <c r="K60" s="11">
        <v>192.66790077004026</v>
      </c>
      <c r="L60" s="11">
        <v>68.900812905958134</v>
      </c>
      <c r="M60" s="11">
        <v>97.670649564457449</v>
      </c>
      <c r="N60" s="11">
        <v>166.57146247041558</v>
      </c>
      <c r="P60" s="10" t="str">
        <f>name!D28</f>
        <v>91 Elementary trades and related occupations</v>
      </c>
      <c r="Q60" s="11">
        <v>80.226392539542701</v>
      </c>
      <c r="R60" s="11">
        <v>67.668584072857882</v>
      </c>
      <c r="S60" s="342">
        <f t="shared" si="24"/>
        <v>-12.557808466684818</v>
      </c>
      <c r="T60" s="342">
        <v>43.133394927175743</v>
      </c>
      <c r="U60" s="342">
        <f t="shared" si="25"/>
        <v>30.575586460490925</v>
      </c>
      <c r="V60" s="343">
        <f t="shared" si="26"/>
        <v>2.9098842899422328E-2</v>
      </c>
      <c r="W60" s="343"/>
      <c r="X60" s="10" t="str">
        <f>name!A57</f>
        <v>Scientific research and development</v>
      </c>
      <c r="Y60" s="10">
        <v>149.94500000017968</v>
      </c>
      <c r="Z60" s="10">
        <v>188.54400000051578</v>
      </c>
      <c r="AA60" s="342">
        <f t="shared" si="8"/>
        <v>38.599000000336105</v>
      </c>
      <c r="AB60" s="10">
        <v>77.112401682815161</v>
      </c>
      <c r="AC60" s="342">
        <f t="shared" si="9"/>
        <v>115.71140168315127</v>
      </c>
      <c r="AD60" s="343">
        <f t="shared" si="10"/>
        <v>2.8048439862380592E-2</v>
      </c>
    </row>
    <row r="61" spans="1:30" x14ac:dyDescent="0.3">
      <c r="A61" t="str">
        <f t="shared" si="20"/>
        <v>92 Elementary administration and service occupations</v>
      </c>
      <c r="B61" s="11">
        <v>2.3153835995531971</v>
      </c>
      <c r="C61" s="11">
        <v>5.2876586184244223</v>
      </c>
      <c r="D61" s="11">
        <f t="shared" ref="D61" si="36">C61-B61</f>
        <v>2.9722750188712252</v>
      </c>
      <c r="E61" s="11">
        <v>2.2183513047886927</v>
      </c>
      <c r="F61" s="11">
        <f t="shared" ref="F61" si="37">SUM(D61:E61)</f>
        <v>5.1906263236599184</v>
      </c>
      <c r="G61" s="200">
        <f t="shared" ref="G61" si="38">IF(B61&gt;0,(1+(E61/B61))^(1/($C$6-$B$6))-1,0)</f>
        <v>4.5816632873641128E-2</v>
      </c>
      <c r="P61" s="10" t="str">
        <f>name!D29</f>
        <v>92 Elementary administration and service occupations</v>
      </c>
      <c r="Q61" s="11">
        <v>1325.0826428203436</v>
      </c>
      <c r="R61" s="11">
        <v>1271.7814097262924</v>
      </c>
      <c r="S61" s="342">
        <f t="shared" ref="S61" si="39">R61-Q61</f>
        <v>-53.301233094051213</v>
      </c>
      <c r="T61" s="342">
        <v>748.31279188562814</v>
      </c>
      <c r="U61" s="342">
        <f t="shared" ref="U61" si="40">SUM(S61:T61)</f>
        <v>695.01155879157693</v>
      </c>
      <c r="V61" s="343">
        <f t="shared" ref="V61" si="41">IF(Q61&gt;0,(1+(T61/Q61))^(1/($C$6-$B$6))-1,0)</f>
        <v>3.0297418146897348E-2</v>
      </c>
      <c r="W61" s="11"/>
      <c r="X61" s="10" t="str">
        <f>name!A58</f>
        <v>Advertising, etc</v>
      </c>
      <c r="Y61" s="10">
        <v>221.03499999976017</v>
      </c>
      <c r="Z61" s="10">
        <v>276.39800000255212</v>
      </c>
      <c r="AA61" s="342">
        <f t="shared" si="8"/>
        <v>55.363000002791949</v>
      </c>
      <c r="AB61" s="10">
        <v>129.82053888445557</v>
      </c>
      <c r="AC61" s="342">
        <f t="shared" si="9"/>
        <v>185.18353888724752</v>
      </c>
      <c r="AD61" s="343">
        <f t="shared" si="10"/>
        <v>3.1282906241096198E-2</v>
      </c>
    </row>
    <row r="62" spans="1:30" x14ac:dyDescent="0.3">
      <c r="A62" t="str">
        <f t="shared" si="20"/>
        <v>All occupations</v>
      </c>
      <c r="B62" s="11">
        <f>SUM(B36:B61)</f>
        <v>522.64787196202735</v>
      </c>
      <c r="C62" s="11">
        <f t="shared" ref="C62:F62" si="42">SUM(C36:C61)</f>
        <v>934.29562779049593</v>
      </c>
      <c r="D62" s="11">
        <f t="shared" si="42"/>
        <v>411.64775582846863</v>
      </c>
      <c r="E62" s="11">
        <f t="shared" si="42"/>
        <v>359.98385195840569</v>
      </c>
      <c r="F62" s="11">
        <f t="shared" si="42"/>
        <v>771.63160778687416</v>
      </c>
      <c r="G62" s="200">
        <f t="shared" si="23"/>
        <v>3.5550675832047407E-2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14380.16499999489</v>
      </c>
      <c r="R62" s="11">
        <f>SUM(R36:R61)</f>
        <v>15586.583999998773</v>
      </c>
      <c r="S62" s="342">
        <f>R62-Q62</f>
        <v>1206.4190000038834</v>
      </c>
      <c r="T62" s="11">
        <f>SUM(T36:T61)</f>
        <v>8487.3025509991821</v>
      </c>
      <c r="U62" s="342">
        <f>SUM(S62:T62)</f>
        <v>9693.7215510030655</v>
      </c>
      <c r="V62" s="343">
        <f>IF(Q62&gt;0,(1+(T62/Q62))^(1/($C$6-$B$6))-1,0)</f>
        <v>3.1407488233836656E-2</v>
      </c>
      <c r="X62" s="10" t="str">
        <f>name!A59</f>
        <v>Other professional</v>
      </c>
      <c r="Y62" s="10">
        <v>233.53799999945068</v>
      </c>
      <c r="Z62" s="10">
        <v>292.00500000210707</v>
      </c>
      <c r="AA62" s="342">
        <f t="shared" si="8"/>
        <v>58.467000002656391</v>
      </c>
      <c r="AB62" s="10">
        <v>130.46913234155318</v>
      </c>
      <c r="AC62" s="342">
        <f t="shared" si="9"/>
        <v>188.93613234420957</v>
      </c>
      <c r="AD62" s="343">
        <f t="shared" si="10"/>
        <v>3.0030668596703558E-2</v>
      </c>
    </row>
    <row r="63" spans="1:30" x14ac:dyDescent="0.3">
      <c r="I63" s="11" t="str">
        <f>I52</f>
        <v>Managers, directors and senior officials</v>
      </c>
      <c r="J63" s="11">
        <f t="array" ref="J63:J71">MMULT(aggregation!$B$38:$AA$46,B152:B177)</f>
        <v>261.00619896447421</v>
      </c>
      <c r="K63" s="11">
        <f t="array" ref="K63:K71">MMULT(aggregation!$B$38:$AA$46,C152:C177)</f>
        <v>289.88364726281543</v>
      </c>
      <c r="L63" s="11">
        <f t="array" ref="L63:L71">MMULT(aggregation!$B$38:$AA$46,D152:D177)</f>
        <v>28.877448298341221</v>
      </c>
      <c r="M63" s="11">
        <f t="array" ref="M63:M71">MMULT(aggregation!$B$38:$AA$46,E152:E177)</f>
        <v>152.31332402629764</v>
      </c>
      <c r="N63" s="11">
        <f t="array" ref="N63:N71">MMULT(aggregation!$B$38:$AA$46,F152:F177)</f>
        <v>181.19077232463886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99.13500000088203</v>
      </c>
      <c r="Z63" s="10">
        <v>129.00000000027103</v>
      </c>
      <c r="AA63" s="342">
        <f t="shared" si="8"/>
        <v>29.864999999388999</v>
      </c>
      <c r="AB63" s="10">
        <v>62.213211319056626</v>
      </c>
      <c r="AC63" s="342">
        <f t="shared" si="9"/>
        <v>92.078211318445625</v>
      </c>
      <c r="AD63" s="343">
        <f t="shared" si="10"/>
        <v>3.3005125280773928E-2</v>
      </c>
    </row>
    <row r="64" spans="1:30" ht="24.9" x14ac:dyDescent="0.3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349.42160220891293</v>
      </c>
      <c r="K64" s="11">
        <v>358.85264617657577</v>
      </c>
      <c r="L64" s="11">
        <v>9.4310439676628519</v>
      </c>
      <c r="M64" s="11">
        <v>155.52460271387207</v>
      </c>
      <c r="N64" s="11">
        <v>164.95564668153494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136.22300000004822</v>
      </c>
      <c r="Z64" s="10">
        <v>155.06200000017392</v>
      </c>
      <c r="AA64" s="342">
        <f t="shared" si="8"/>
        <v>18.839000000125708</v>
      </c>
      <c r="AB64" s="10">
        <v>65.397160945919367</v>
      </c>
      <c r="AC64" s="342">
        <f t="shared" si="9"/>
        <v>84.236160946045075</v>
      </c>
      <c r="AD64" s="343">
        <f t="shared" si="10"/>
        <v>2.6484118454821903E-2</v>
      </c>
    </row>
    <row r="65" spans="1:30" x14ac:dyDescent="0.3">
      <c r="A65" t="str">
        <f t="shared" ref="A65:A91" si="44">A7</f>
        <v>11 Corporate managers and directors</v>
      </c>
      <c r="B65" s="11">
        <v>334.53804190043962</v>
      </c>
      <c r="C65" s="11">
        <v>569.11710149643704</v>
      </c>
      <c r="D65" s="11">
        <f>C65-B65</f>
        <v>234.57905959599742</v>
      </c>
      <c r="E65" s="11">
        <v>237.50753400565486</v>
      </c>
      <c r="F65" s="11">
        <f>SUM(D65:E65)</f>
        <v>472.08659360165228</v>
      </c>
      <c r="G65" s="200">
        <f>IF(B65&gt;0,(1+(E65/B65))^(1/($C$6-$B$6))-1,0)</f>
        <v>3.6411781863521453E-2</v>
      </c>
      <c r="I65" s="11" t="str">
        <f>I54</f>
        <v>Associate professional occupations</v>
      </c>
      <c r="J65" s="11">
        <v>278.39185697542479</v>
      </c>
      <c r="K65" s="11">
        <v>267.27751672151106</v>
      </c>
      <c r="L65" s="11">
        <v>-11.114340253913706</v>
      </c>
      <c r="M65" s="11">
        <v>121.43034159202622</v>
      </c>
      <c r="N65" s="11">
        <v>110.31600133811253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874.54700000010871</v>
      </c>
      <c r="Z65" s="10">
        <v>993.61200000035467</v>
      </c>
      <c r="AA65" s="342">
        <f t="shared" si="8"/>
        <v>119.06500000024596</v>
      </c>
      <c r="AB65" s="10">
        <v>433.26718286516473</v>
      </c>
      <c r="AC65" s="342">
        <f t="shared" si="9"/>
        <v>552.33218286541069</v>
      </c>
      <c r="AD65" s="343">
        <f t="shared" si="10"/>
        <v>2.7190180876455194E-2</v>
      </c>
    </row>
    <row r="66" spans="1:30" x14ac:dyDescent="0.3">
      <c r="A66" t="str">
        <f t="shared" si="44"/>
        <v>12 Other managers and proprietors</v>
      </c>
      <c r="B66" s="11">
        <v>122.45162622075458</v>
      </c>
      <c r="C66" s="11">
        <v>303.70862931052523</v>
      </c>
      <c r="D66" s="11">
        <f t="shared" ref="D66:D89" si="45">C66-B66</f>
        <v>181.25700308977065</v>
      </c>
      <c r="E66" s="11">
        <v>132.25189191259875</v>
      </c>
      <c r="F66" s="11">
        <f t="shared" ref="F66:F89" si="46">SUM(D66:E66)</f>
        <v>313.5088950023694</v>
      </c>
      <c r="G66" s="200">
        <f t="shared" ref="G66:G91" si="47">IF(B66&gt;0,(1+(E66/B66))^(1/($C$6-$B$6))-1,0)</f>
        <v>5.0037217433446912E-2</v>
      </c>
      <c r="I66" s="11" t="str">
        <f>I55</f>
        <v>Administrative and secretarial occupations</v>
      </c>
      <c r="J66" s="11">
        <v>216.4652004648766</v>
      </c>
      <c r="K66" s="11">
        <v>240.64799640648272</v>
      </c>
      <c r="L66" s="11">
        <v>24.18279594160613</v>
      </c>
      <c r="M66" s="11">
        <v>126.60515714653071</v>
      </c>
      <c r="N66" s="11">
        <v>150.78795308813685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85.320999999577495</v>
      </c>
      <c r="Z66" s="10">
        <v>96.631999999781812</v>
      </c>
      <c r="AA66" s="342">
        <f t="shared" si="8"/>
        <v>11.311000000204317</v>
      </c>
      <c r="AB66" s="10">
        <v>42.039423427086994</v>
      </c>
      <c r="AC66" s="342">
        <f t="shared" si="9"/>
        <v>53.350423427291311</v>
      </c>
      <c r="AD66" s="343">
        <f t="shared" si="10"/>
        <v>2.7066515358892484E-2</v>
      </c>
    </row>
    <row r="67" spans="1:30" x14ac:dyDescent="0.3">
      <c r="A67" t="str">
        <f t="shared" si="44"/>
        <v>21 Science, research, engineering and technology professionals</v>
      </c>
      <c r="B67" s="11">
        <v>422.62994568685974</v>
      </c>
      <c r="C67" s="11">
        <v>771.27839088626536</v>
      </c>
      <c r="D67" s="11">
        <f t="shared" si="45"/>
        <v>348.64844519940561</v>
      </c>
      <c r="E67" s="11">
        <v>244.86474284290435</v>
      </c>
      <c r="F67" s="11">
        <f t="shared" si="46"/>
        <v>593.51318804230993</v>
      </c>
      <c r="G67" s="200">
        <f t="shared" si="47"/>
        <v>3.093789403177194E-2</v>
      </c>
      <c r="I67" s="11" t="str">
        <f t="shared" ref="I67:I71" si="48">I56</f>
        <v>Skilled trades occupations</v>
      </c>
      <c r="J67" s="11">
        <v>154.84892980550308</v>
      </c>
      <c r="K67" s="11">
        <v>217.62936145060854</v>
      </c>
      <c r="L67" s="11">
        <v>62.78043164510548</v>
      </c>
      <c r="M67" s="11">
        <v>98.685604467800147</v>
      </c>
      <c r="N67" s="11">
        <v>161.46603611290561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185.7780000002721</v>
      </c>
      <c r="Z67" s="10">
        <v>210.54900000016929</v>
      </c>
      <c r="AA67" s="342">
        <f t="shared" si="8"/>
        <v>24.770999999897185</v>
      </c>
      <c r="AB67" s="10">
        <v>88.345041002400677</v>
      </c>
      <c r="AC67" s="342">
        <f t="shared" si="9"/>
        <v>113.11604100229786</v>
      </c>
      <c r="AD67" s="343">
        <f t="shared" si="10"/>
        <v>2.6274214387487227E-2</v>
      </c>
    </row>
    <row r="68" spans="1:30" x14ac:dyDescent="0.3">
      <c r="A68" t="str">
        <f t="shared" si="44"/>
        <v>22 Health professionals</v>
      </c>
      <c r="B68" s="11">
        <v>273.98678048943981</v>
      </c>
      <c r="C68" s="11">
        <v>468.66956531031553</v>
      </c>
      <c r="D68" s="11">
        <f t="shared" si="45"/>
        <v>194.68278482087572</v>
      </c>
      <c r="E68" s="11">
        <v>201.62100770335704</v>
      </c>
      <c r="F68" s="11">
        <f t="shared" si="46"/>
        <v>396.30379252423279</v>
      </c>
      <c r="G68" s="200">
        <f t="shared" si="47"/>
        <v>3.7451866962321612E-2</v>
      </c>
      <c r="I68" s="11" t="str">
        <f t="shared" si="48"/>
        <v>Caring, leisure and other service occupations</v>
      </c>
      <c r="J68" s="11">
        <v>181.9214139725531</v>
      </c>
      <c r="K68" s="11">
        <v>244.19653386568743</v>
      </c>
      <c r="L68" s="11">
        <v>62.275119893134338</v>
      </c>
      <c r="M68" s="11">
        <v>131.09479794711609</v>
      </c>
      <c r="N68" s="11">
        <v>193.36991784025039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727.07300000036184</v>
      </c>
      <c r="Z68" s="10">
        <v>818.1779999991353</v>
      </c>
      <c r="AA68" s="342">
        <f t="shared" si="8"/>
        <v>91.104999998773451</v>
      </c>
      <c r="AB68" s="10">
        <v>391.74260970853658</v>
      </c>
      <c r="AC68" s="342">
        <f t="shared" si="9"/>
        <v>482.84760970731003</v>
      </c>
      <c r="AD68" s="343">
        <f t="shared" si="10"/>
        <v>2.9150051178155501E-2</v>
      </c>
    </row>
    <row r="69" spans="1:30" x14ac:dyDescent="0.3">
      <c r="A69" t="str">
        <f t="shared" si="44"/>
        <v>23 Teaching and other educational professionals</v>
      </c>
      <c r="B69" s="11">
        <v>769.67102208021038</v>
      </c>
      <c r="C69" s="11">
        <v>1063.5944925809035</v>
      </c>
      <c r="D69" s="11">
        <f t="shared" ref="D69" si="49">C69-B69</f>
        <v>293.92347050069316</v>
      </c>
      <c r="E69" s="11">
        <v>487.04723229485535</v>
      </c>
      <c r="F69" s="11">
        <f t="shared" ref="F69" si="50">SUM(D69:E69)</f>
        <v>780.9707027955485</v>
      </c>
      <c r="G69" s="200">
        <f t="shared" si="47"/>
        <v>3.3226459148695486E-2</v>
      </c>
      <c r="I69" s="11" t="str">
        <f t="shared" si="48"/>
        <v>Sales and customer service occupations</v>
      </c>
      <c r="J69" s="11">
        <v>103.73715686356208</v>
      </c>
      <c r="K69" s="11">
        <v>135.60248890398719</v>
      </c>
      <c r="L69" s="11">
        <v>31.865332040425116</v>
      </c>
      <c r="M69" s="11">
        <v>57.765122857871539</v>
      </c>
      <c r="N69" s="11">
        <v>89.630454898296648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474.29799999972579</v>
      </c>
      <c r="Z69" s="10">
        <v>538.42899999973883</v>
      </c>
      <c r="AA69" s="342">
        <f t="shared" si="8"/>
        <v>64.131000000013046</v>
      </c>
      <c r="AB69" s="10">
        <v>230.02839525932768</v>
      </c>
      <c r="AC69" s="342">
        <f t="shared" si="9"/>
        <v>294.15939525934073</v>
      </c>
      <c r="AD69" s="343">
        <f t="shared" si="10"/>
        <v>2.6710912672213372E-2</v>
      </c>
    </row>
    <row r="70" spans="1:30" x14ac:dyDescent="0.3">
      <c r="A70" t="str">
        <f t="shared" si="44"/>
        <v>24 Business, media and public service professionals</v>
      </c>
      <c r="B70" s="11">
        <v>593.76125530162585</v>
      </c>
      <c r="C70" s="11">
        <v>1097.5082275934724</v>
      </c>
      <c r="D70" s="11">
        <f t="shared" si="45"/>
        <v>503.74697229184653</v>
      </c>
      <c r="E70" s="11">
        <v>429.72680926555125</v>
      </c>
      <c r="F70" s="11">
        <f t="shared" si="46"/>
        <v>933.47378155739784</v>
      </c>
      <c r="G70" s="200">
        <f t="shared" si="47"/>
        <v>3.6966504989215609E-2</v>
      </c>
      <c r="I70" s="11" t="str">
        <f t="shared" si="48"/>
        <v>Process, plant and machine operatives</v>
      </c>
      <c r="J70" s="11">
        <v>68.600900944860129</v>
      </c>
      <c r="K70" s="11">
        <v>116.52164088775893</v>
      </c>
      <c r="L70" s="11">
        <v>47.920739942898805</v>
      </c>
      <c r="M70" s="11">
        <v>58.212829405478708</v>
      </c>
      <c r="N70" s="11">
        <v>106.13356934837751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1106.4329999965846</v>
      </c>
      <c r="Z70" s="10">
        <v>1158.0480000032949</v>
      </c>
      <c r="AA70" s="342">
        <f t="shared" si="8"/>
        <v>51.615000006710261</v>
      </c>
      <c r="AB70" s="10">
        <v>551.83396792405313</v>
      </c>
      <c r="AC70" s="342">
        <f t="shared" si="9"/>
        <v>603.44896793076339</v>
      </c>
      <c r="AD70" s="343">
        <f t="shared" si="10"/>
        <v>2.7342580125952809E-2</v>
      </c>
    </row>
    <row r="71" spans="1:30" x14ac:dyDescent="0.3">
      <c r="A71" t="str">
        <f t="shared" si="44"/>
        <v>31 Science, engineering and technology associate professionals</v>
      </c>
      <c r="B71" s="11">
        <v>76.24205195722206</v>
      </c>
      <c r="C71" s="11">
        <v>115.34411080645202</v>
      </c>
      <c r="D71" s="11">
        <f t="shared" si="45"/>
        <v>39.102058849229962</v>
      </c>
      <c r="E71" s="11">
        <v>40.83073852063152</v>
      </c>
      <c r="F71" s="11">
        <f t="shared" si="46"/>
        <v>79.932797369861476</v>
      </c>
      <c r="G71" s="200">
        <f t="shared" si="47"/>
        <v>2.9004860731580262E-2</v>
      </c>
      <c r="I71" s="11" t="str">
        <f t="shared" si="48"/>
        <v>Elementary occupations</v>
      </c>
      <c r="J71" s="11">
        <v>114.02542793456016</v>
      </c>
      <c r="K71" s="11">
        <v>169.7692367532496</v>
      </c>
      <c r="L71" s="11">
        <v>55.743808818689459</v>
      </c>
      <c r="M71" s="11">
        <v>85.233036267070801</v>
      </c>
      <c r="N71" s="11">
        <v>140.97684508576029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2531.7800000098377</v>
      </c>
      <c r="Z71" s="10">
        <v>2633.2330000334459</v>
      </c>
      <c r="AA71" s="342">
        <f t="shared" si="8"/>
        <v>101.45300002360818</v>
      </c>
      <c r="AB71" s="10">
        <v>1356.3185353460617</v>
      </c>
      <c r="AC71" s="342">
        <f t="shared" si="9"/>
        <v>1457.7715353696699</v>
      </c>
      <c r="AD71" s="343">
        <f t="shared" si="10"/>
        <v>2.9012743508445737E-2</v>
      </c>
    </row>
    <row r="72" spans="1:30" x14ac:dyDescent="0.3">
      <c r="A72" t="str">
        <f t="shared" si="44"/>
        <v>32 Health and social care associate professionals</v>
      </c>
      <c r="B72" s="11">
        <v>69.253161753372694</v>
      </c>
      <c r="C72" s="11">
        <v>136.48337004128283</v>
      </c>
      <c r="D72" s="11">
        <f t="shared" si="45"/>
        <v>67.230208287910131</v>
      </c>
      <c r="E72" s="11">
        <v>59.402836782396946</v>
      </c>
      <c r="F72" s="11">
        <f t="shared" si="46"/>
        <v>126.63304507030708</v>
      </c>
      <c r="G72" s="200">
        <f t="shared" si="47"/>
        <v>4.2155909683129877E-2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2213.0239999955993</v>
      </c>
      <c r="Z72" s="10">
        <v>2506.2629999993633</v>
      </c>
      <c r="AA72" s="342">
        <f t="shared" ref="AA72:AA80" si="51">Z72-Y72</f>
        <v>293.23900000376398</v>
      </c>
      <c r="AB72" s="10">
        <v>1300.6852467605577</v>
      </c>
      <c r="AC72" s="342">
        <f t="shared" ref="AC72:AC82" si="52">SUM(AA72:AB72)</f>
        <v>1593.9242467643217</v>
      </c>
      <c r="AD72" s="343">
        <f t="shared" ref="AD72:AD82" si="53">IF(Y72&gt;0,(1+(AB72/Y72))^(1/($C$6-$B$6))-1,0)</f>
        <v>3.130070154815745E-2</v>
      </c>
    </row>
    <row r="73" spans="1:30" x14ac:dyDescent="0.3">
      <c r="A73" t="str">
        <f t="shared" si="44"/>
        <v>33 Protective service occupations</v>
      </c>
      <c r="B73" s="11">
        <v>22.987488199911088</v>
      </c>
      <c r="C73" s="11">
        <v>64.225994641225384</v>
      </c>
      <c r="D73" s="11">
        <f t="shared" si="45"/>
        <v>41.2385064413143</v>
      </c>
      <c r="E73" s="11">
        <v>14.66652571991874</v>
      </c>
      <c r="F73" s="11">
        <f t="shared" si="46"/>
        <v>55.905032161233038</v>
      </c>
      <c r="G73" s="200">
        <f t="shared" si="47"/>
        <v>3.3446464796833775E-2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636.03399999903615</v>
      </c>
      <c r="Z73" s="10">
        <v>736.25499999871056</v>
      </c>
      <c r="AA73" s="342">
        <f t="shared" si="51"/>
        <v>100.2209999996744</v>
      </c>
      <c r="AB73" s="10">
        <v>381.91836208319148</v>
      </c>
      <c r="AC73" s="342">
        <f t="shared" si="52"/>
        <v>482.13936208286589</v>
      </c>
      <c r="AD73" s="343">
        <f t="shared" si="53"/>
        <v>3.1849777431309567E-2</v>
      </c>
    </row>
    <row r="74" spans="1:30" x14ac:dyDescent="0.3">
      <c r="A74" t="str">
        <f t="shared" si="44"/>
        <v>34 Culture, media and sports occupations</v>
      </c>
      <c r="B74" s="11">
        <v>153.70788309073714</v>
      </c>
      <c r="C74" s="11">
        <v>269.19172529586092</v>
      </c>
      <c r="D74" s="11">
        <f t="shared" ref="D74:D75" si="54">C74-B74</f>
        <v>115.48384220512378</v>
      </c>
      <c r="E74" s="11">
        <v>107.37996652103106</v>
      </c>
      <c r="F74" s="11">
        <f t="shared" ref="F74:F75" si="55">SUM(D74:E74)</f>
        <v>222.86380872615484</v>
      </c>
      <c r="G74" s="200">
        <f t="shared" si="47"/>
        <v>3.5951367408733947E-2</v>
      </c>
      <c r="I74" s="11" t="str">
        <f>I63</f>
        <v>Managers, directors and senior officials</v>
      </c>
      <c r="J74" s="11">
        <f t="array" ref="J74:J82">MMULT(aggregation!$B$38:$AA$46,B181:B206)</f>
        <v>567.27226337414572</v>
      </c>
      <c r="K74" s="11">
        <f t="array" ref="K74:K82">MMULT(aggregation!$B$38:$AA$46,C181:C206)</f>
        <v>545.27870911441414</v>
      </c>
      <c r="L74" s="11">
        <f t="array" ref="L74:L82">MMULT(aggregation!$B$38:$AA$46,D181:D206)</f>
        <v>-21.99355425973161</v>
      </c>
      <c r="M74" s="11">
        <f t="array" ref="M74:M82">MMULT(aggregation!$B$38:$AA$46,E181:E206)</f>
        <v>241.08584790346441</v>
      </c>
      <c r="N74" s="11">
        <f t="array" ref="N74:N82">MMULT(aggregation!$B$38:$AA$46,F181:F206)</f>
        <v>219.09229364373277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798.98399999854939</v>
      </c>
      <c r="Z74" s="10">
        <v>897.51599999881785</v>
      </c>
      <c r="AA74" s="342">
        <f t="shared" si="51"/>
        <v>98.532000000268454</v>
      </c>
      <c r="AB74" s="10">
        <v>472.38733468674212</v>
      </c>
      <c r="AC74" s="342">
        <f t="shared" si="52"/>
        <v>570.91933468701063</v>
      </c>
      <c r="AD74" s="343">
        <f t="shared" si="53"/>
        <v>3.1451841387611701E-2</v>
      </c>
    </row>
    <row r="75" spans="1:30" x14ac:dyDescent="0.3">
      <c r="A75" t="str">
        <f t="shared" si="44"/>
        <v>35 Business and public service associate professionals</v>
      </c>
      <c r="B75" s="11">
        <v>321.9415733949433</v>
      </c>
      <c r="C75" s="11">
        <v>552.82271179572365</v>
      </c>
      <c r="D75" s="11">
        <f t="shared" si="54"/>
        <v>230.88113840078034</v>
      </c>
      <c r="E75" s="11">
        <v>216.33436108861787</v>
      </c>
      <c r="F75" s="11">
        <f t="shared" si="55"/>
        <v>447.21549948939821</v>
      </c>
      <c r="G75" s="200">
        <f t="shared" si="47"/>
        <v>3.4860618159513468E-2</v>
      </c>
      <c r="I75" s="11" t="str">
        <f>I64</f>
        <v>Professional occupations</v>
      </c>
      <c r="J75" s="11">
        <v>693.60988458354495</v>
      </c>
      <c r="K75" s="11">
        <v>700.28949754943665</v>
      </c>
      <c r="L75" s="11">
        <v>6.6796129658917067</v>
      </c>
      <c r="M75" s="11">
        <v>282.39300085438458</v>
      </c>
      <c r="N75" s="11">
        <v>289.07261382027627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183.77300000072617</v>
      </c>
      <c r="Z75" s="10">
        <v>182.60400000283386</v>
      </c>
      <c r="AA75" s="342">
        <f t="shared" si="51"/>
        <v>-1.168999997892314</v>
      </c>
      <c r="AB75" s="10">
        <v>90.097830822599533</v>
      </c>
      <c r="AC75" s="342">
        <f t="shared" si="52"/>
        <v>88.928830824707219</v>
      </c>
      <c r="AD75" s="343">
        <f t="shared" si="53"/>
        <v>2.695387575133279E-2</v>
      </c>
    </row>
    <row r="76" spans="1:30" x14ac:dyDescent="0.3">
      <c r="A76" t="str">
        <f t="shared" si="44"/>
        <v>41 Administrative occupations</v>
      </c>
      <c r="B76" s="11">
        <v>189.36632911294154</v>
      </c>
      <c r="C76" s="11">
        <v>345.21259492188102</v>
      </c>
      <c r="D76" s="11">
        <f t="shared" si="45"/>
        <v>155.84626580893948</v>
      </c>
      <c r="E76" s="11">
        <v>144.43422677297909</v>
      </c>
      <c r="F76" s="11">
        <f t="shared" si="46"/>
        <v>300.28049258191857</v>
      </c>
      <c r="G76" s="200">
        <f t="shared" si="47"/>
        <v>3.8513834517612366E-2</v>
      </c>
      <c r="I76" s="11" t="str">
        <f>I65</f>
        <v>Associate professional occupations</v>
      </c>
      <c r="J76" s="11">
        <v>697.21620182616664</v>
      </c>
      <c r="K76" s="11">
        <v>601.13391528303237</v>
      </c>
      <c r="L76" s="11">
        <v>-96.082286543134188</v>
      </c>
      <c r="M76" s="11">
        <v>259.33091225636866</v>
      </c>
      <c r="N76" s="11">
        <v>163.24862571323445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167.18700000005953</v>
      </c>
      <c r="Z76" s="10">
        <v>165.28700000209969</v>
      </c>
      <c r="AA76" s="342">
        <f t="shared" si="51"/>
        <v>-1.8999999979598385</v>
      </c>
      <c r="AB76" s="10">
        <v>82.828023117097857</v>
      </c>
      <c r="AC76" s="342">
        <f t="shared" si="52"/>
        <v>80.928023119138018</v>
      </c>
      <c r="AD76" s="343">
        <f t="shared" si="53"/>
        <v>2.7190293196922788E-2</v>
      </c>
    </row>
    <row r="77" spans="1:30" x14ac:dyDescent="0.3">
      <c r="A77" t="str">
        <f t="shared" si="44"/>
        <v>42 Secretarial and related occupations</v>
      </c>
      <c r="B77" s="11">
        <v>30.577696260873378</v>
      </c>
      <c r="C77" s="11">
        <v>66.674183359961475</v>
      </c>
      <c r="D77" s="11">
        <f t="shared" si="45"/>
        <v>36.096487099088094</v>
      </c>
      <c r="E77" s="11">
        <v>30.943485096016193</v>
      </c>
      <c r="F77" s="11">
        <f t="shared" si="46"/>
        <v>67.039972195104284</v>
      </c>
      <c r="G77" s="200">
        <f t="shared" si="47"/>
        <v>4.7710573744842444E-2</v>
      </c>
      <c r="I77" s="11" t="str">
        <f>I66</f>
        <v>Administrative and secretarial occupations</v>
      </c>
      <c r="J77" s="11">
        <v>650.65541692996851</v>
      </c>
      <c r="K77" s="11">
        <v>445.31270444165119</v>
      </c>
      <c r="L77" s="11">
        <v>-205.34271248831729</v>
      </c>
      <c r="M77" s="11">
        <v>258.99697722948429</v>
      </c>
      <c r="N77" s="11">
        <v>53.654264741167019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84.679000000155867</v>
      </c>
      <c r="Z77" s="10">
        <v>101.03000000070134</v>
      </c>
      <c r="AA77" s="342">
        <f t="shared" si="51"/>
        <v>16.351000000545469</v>
      </c>
      <c r="AB77" s="10">
        <v>43.163793806844858</v>
      </c>
      <c r="AC77" s="342">
        <f t="shared" si="52"/>
        <v>59.514793807390326</v>
      </c>
      <c r="AD77" s="343">
        <f t="shared" si="53"/>
        <v>2.784280979200382E-2</v>
      </c>
    </row>
    <row r="78" spans="1:30" x14ac:dyDescent="0.3">
      <c r="A78" t="str">
        <f t="shared" si="44"/>
        <v>51 Skilled agricultural and related trades</v>
      </c>
      <c r="B78" s="11">
        <v>4.7646904413004254</v>
      </c>
      <c r="C78" s="11">
        <v>9.4590902261197112</v>
      </c>
      <c r="D78" s="11">
        <f t="shared" si="45"/>
        <v>4.6943997848192858</v>
      </c>
      <c r="E78" s="11">
        <v>4.2666266493654481</v>
      </c>
      <c r="F78" s="11">
        <f t="shared" si="46"/>
        <v>8.9610264341847348</v>
      </c>
      <c r="G78" s="200">
        <f t="shared" si="47"/>
        <v>4.3552797641554175E-2</v>
      </c>
      <c r="I78" s="11" t="str">
        <f t="shared" ref="I78:I82" si="56">I67</f>
        <v>Skilled trades occupations</v>
      </c>
      <c r="J78" s="11">
        <v>825.16002178788324</v>
      </c>
      <c r="K78" s="11">
        <v>769.97577768345241</v>
      </c>
      <c r="L78" s="11">
        <v>-55.184244104430803</v>
      </c>
      <c r="M78" s="11">
        <v>301.12705030899184</v>
      </c>
      <c r="N78" s="11">
        <v>245.94280620456107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429.0990000009009</v>
      </c>
      <c r="Z78" s="10">
        <v>508.65400000353156</v>
      </c>
      <c r="AA78" s="342">
        <f t="shared" si="51"/>
        <v>79.555000002630663</v>
      </c>
      <c r="AB78" s="10">
        <v>231.6354114219578</v>
      </c>
      <c r="AC78" s="342">
        <f t="shared" si="52"/>
        <v>311.19041142458843</v>
      </c>
      <c r="AD78" s="343">
        <f t="shared" si="53"/>
        <v>2.9195696446224773E-2</v>
      </c>
    </row>
    <row r="79" spans="1:30" x14ac:dyDescent="0.3">
      <c r="A79" t="str">
        <f t="shared" si="44"/>
        <v>52 Skilled metal, electrical and electronic trades</v>
      </c>
      <c r="B79" s="11">
        <v>21.130942051940551</v>
      </c>
      <c r="C79" s="11">
        <v>58.964946462048815</v>
      </c>
      <c r="D79" s="11">
        <f t="shared" si="45"/>
        <v>37.834004410108264</v>
      </c>
      <c r="E79" s="11">
        <v>20.317612567580074</v>
      </c>
      <c r="F79" s="11">
        <f t="shared" si="46"/>
        <v>58.151616977688334</v>
      </c>
      <c r="G79" s="200">
        <f t="shared" si="47"/>
        <v>4.5938225874342598E-2</v>
      </c>
      <c r="I79" s="11" t="str">
        <f t="shared" si="56"/>
        <v>Caring, leisure and other service occupations</v>
      </c>
      <c r="J79" s="11">
        <v>895.34548073239466</v>
      </c>
      <c r="K79" s="11">
        <v>1088.1282022851058</v>
      </c>
      <c r="L79" s="11">
        <v>192.78272155271114</v>
      </c>
      <c r="M79" s="11">
        <v>544.74078256752625</v>
      </c>
      <c r="N79" s="11">
        <v>737.52350412023736</v>
      </c>
      <c r="X79" s="10" t="str">
        <f>name!A76</f>
        <v>Membership organisations</v>
      </c>
      <c r="Y79" s="10">
        <v>341.49799999854827</v>
      </c>
      <c r="Z79" s="10">
        <v>341.4780000028187</v>
      </c>
      <c r="AA79" s="342">
        <f t="shared" si="51"/>
        <v>-1.9999995729563125E-2</v>
      </c>
      <c r="AB79" s="10">
        <v>176.49630281474285</v>
      </c>
      <c r="AC79" s="342">
        <f t="shared" si="52"/>
        <v>176.47630281901328</v>
      </c>
      <c r="AD79" s="343">
        <f t="shared" si="53"/>
        <v>2.8164144666259716E-2</v>
      </c>
    </row>
    <row r="80" spans="1:30" x14ac:dyDescent="0.3">
      <c r="A80" t="str">
        <f t="shared" si="44"/>
        <v>53 Skilled construction and building trades</v>
      </c>
      <c r="B80" s="11">
        <v>9.7498835479210726</v>
      </c>
      <c r="C80" s="11">
        <v>24.481430503920294</v>
      </c>
      <c r="D80" s="11">
        <f t="shared" ref="D80" si="57">C80-B80</f>
        <v>14.731546955999221</v>
      </c>
      <c r="E80" s="11">
        <v>8.9919574126727575</v>
      </c>
      <c r="F80" s="11">
        <f>SUM(D80:E80)</f>
        <v>23.723504368671978</v>
      </c>
      <c r="G80" s="200">
        <f t="shared" si="47"/>
        <v>4.4529847890693031E-2</v>
      </c>
      <c r="I80" s="11" t="str">
        <f t="shared" si="56"/>
        <v>Sales and customer service occupations</v>
      </c>
      <c r="J80" s="11">
        <v>620.3526530993588</v>
      </c>
      <c r="K80" s="11">
        <v>655.43223023474025</v>
      </c>
      <c r="L80" s="11">
        <v>35.079577135381484</v>
      </c>
      <c r="M80" s="11">
        <v>284.1317737283693</v>
      </c>
      <c r="N80" s="11">
        <v>319.21135086375079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74.547999999762879</v>
      </c>
      <c r="Z80" s="10">
        <v>78.33300000022372</v>
      </c>
      <c r="AA80" s="342">
        <f t="shared" si="51"/>
        <v>3.7850000004608404</v>
      </c>
      <c r="AB80" s="10">
        <v>34.830837033649907</v>
      </c>
      <c r="AC80" s="342">
        <f t="shared" si="52"/>
        <v>38.615837034110747</v>
      </c>
      <c r="AD80" s="343">
        <f t="shared" si="53"/>
        <v>2.5887694103921222E-2</v>
      </c>
    </row>
    <row r="81" spans="1:30" x14ac:dyDescent="0.3">
      <c r="A81" t="str">
        <f t="shared" si="44"/>
        <v>54 Textiles, printing and other skilled trades</v>
      </c>
      <c r="B81" s="11">
        <v>22.157163082934943</v>
      </c>
      <c r="C81" s="11">
        <v>55.235053187263404</v>
      </c>
      <c r="D81" s="11">
        <f t="shared" si="45"/>
        <v>33.077890104328461</v>
      </c>
      <c r="E81" s="11">
        <v>20.887622061819574</v>
      </c>
      <c r="F81" s="11">
        <f t="shared" si="46"/>
        <v>53.965512166148031</v>
      </c>
      <c r="G81" s="200">
        <f t="shared" si="47"/>
        <v>4.5266646498954399E-2</v>
      </c>
      <c r="I81" s="11" t="str">
        <f t="shared" si="56"/>
        <v>Process, plant and machine operatives</v>
      </c>
      <c r="J81" s="11">
        <v>364.60880840485902</v>
      </c>
      <c r="K81" s="11">
        <v>490.69191202277591</v>
      </c>
      <c r="L81" s="11">
        <v>126.08310361791695</v>
      </c>
      <c r="M81" s="11">
        <v>197.76382023230363</v>
      </c>
      <c r="N81" s="11">
        <v>323.84692385022055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440.26199999902451</v>
      </c>
      <c r="Z81" s="10">
        <v>436.27300000076957</v>
      </c>
      <c r="AA81" s="342">
        <f>Z81-Y81</f>
        <v>-3.9889999982549398</v>
      </c>
      <c r="AB81" s="10">
        <v>219.11556028589828</v>
      </c>
      <c r="AC81" s="342">
        <f t="shared" si="52"/>
        <v>215.12656028764334</v>
      </c>
      <c r="AD81" s="343">
        <f t="shared" si="53"/>
        <v>2.7294266086907326E-2</v>
      </c>
    </row>
    <row r="82" spans="1:30" x14ac:dyDescent="0.3">
      <c r="A82" t="str">
        <f t="shared" si="44"/>
        <v>61 Caring personal service occupations</v>
      </c>
      <c r="B82" s="11">
        <v>95.840659568327482</v>
      </c>
      <c r="C82" s="11">
        <v>226.50366669810498</v>
      </c>
      <c r="D82" s="11">
        <f t="shared" si="45"/>
        <v>130.6630071297775</v>
      </c>
      <c r="E82" s="11">
        <v>96.261485929626389</v>
      </c>
      <c r="F82" s="11">
        <f t="shared" si="46"/>
        <v>226.92449305940389</v>
      </c>
      <c r="G82" s="200">
        <f t="shared" si="47"/>
        <v>4.7447251311612204E-2</v>
      </c>
      <c r="I82" s="11" t="str">
        <f t="shared" si="56"/>
        <v>Elementary occupations</v>
      </c>
      <c r="J82" s="11">
        <v>528.57417916194663</v>
      </c>
      <c r="K82" s="11">
        <v>524.63348868031437</v>
      </c>
      <c r="L82" s="11">
        <v>-3.9406904816322736</v>
      </c>
      <c r="M82" s="11">
        <v>249.53274408580546</v>
      </c>
      <c r="N82" s="11">
        <v>245.59205360417317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29859.680999995031</v>
      </c>
      <c r="Z82" s="353">
        <f>SUM(Z7:Z81)</f>
        <v>32070.090999998894</v>
      </c>
      <c r="AA82" s="354">
        <f>Z82-Y82</f>
        <v>2210.4100000038634</v>
      </c>
      <c r="AB82" s="353">
        <f>SUM(AB7:AB81)</f>
        <v>14988.122927048111</v>
      </c>
      <c r="AC82" s="354">
        <f t="shared" si="52"/>
        <v>17198.532927051972</v>
      </c>
      <c r="AD82" s="346">
        <f t="shared" si="53"/>
        <v>2.7488732002161065E-2</v>
      </c>
    </row>
    <row r="83" spans="1:30" x14ac:dyDescent="0.3">
      <c r="A83" t="str">
        <f t="shared" si="44"/>
        <v>62 Leisure, travel and related personal service occupations</v>
      </c>
      <c r="B83" s="11">
        <v>16.660588689211909</v>
      </c>
      <c r="C83" s="11">
        <v>37.26783524243114</v>
      </c>
      <c r="D83" s="11">
        <f t="shared" ref="D83:D84" si="58">C83-B83</f>
        <v>20.60724655321923</v>
      </c>
      <c r="E83" s="11">
        <v>15.12403050841773</v>
      </c>
      <c r="F83" s="11">
        <f t="shared" ref="F83:F84" si="59">SUM(D83:E83)</f>
        <v>35.731277061636959</v>
      </c>
      <c r="G83" s="200">
        <f t="shared" si="47"/>
        <v>4.4003075366837674E-2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3">
      <c r="A84" t="str">
        <f t="shared" si="44"/>
        <v>63 Community and civil enforcement occupations</v>
      </c>
      <c r="B84" s="11">
        <v>1.5491041558718208</v>
      </c>
      <c r="C84" s="11">
        <v>2.8103101618810848</v>
      </c>
      <c r="D84" s="11">
        <f t="shared" si="58"/>
        <v>1.261206006009264</v>
      </c>
      <c r="E84" s="11">
        <v>1.1041646778108969</v>
      </c>
      <c r="F84" s="11">
        <f t="shared" si="59"/>
        <v>2.3653706838201609</v>
      </c>
      <c r="G84" s="200">
        <f t="shared" si="47"/>
        <v>3.6525623196618895E-2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3">
      <c r="A85" t="str">
        <f t="shared" si="44"/>
        <v>71 Sales occupations</v>
      </c>
      <c r="B85" s="11">
        <v>73.997740566399173</v>
      </c>
      <c r="C85" s="11">
        <v>161.3303972517264</v>
      </c>
      <c r="D85" s="11">
        <f t="shared" si="45"/>
        <v>87.332656685327223</v>
      </c>
      <c r="E85" s="11">
        <v>55.628769506612905</v>
      </c>
      <c r="F85" s="11">
        <f t="shared" si="46"/>
        <v>142.96142619194012</v>
      </c>
      <c r="G85" s="200">
        <f t="shared" si="47"/>
        <v>3.8082073408320927E-2</v>
      </c>
      <c r="I85" s="11" t="str">
        <f>I74</f>
        <v>Managers, directors and senior officials</v>
      </c>
      <c r="J85" s="11">
        <f t="array" ref="J85:J93">MMULT(aggregation!$B$38:$AA$46,B210:B235)</f>
        <v>458.70676761077618</v>
      </c>
      <c r="K85" s="11">
        <f t="array" ref="K85:K93">MMULT(aggregation!$B$38:$AA$46,C210:C235)</f>
        <v>359.66238150889342</v>
      </c>
      <c r="L85" s="11">
        <f t="array" ref="L85:L93">MMULT(aggregation!$B$38:$AA$46,D210:D235)</f>
        <v>-99.044386101882793</v>
      </c>
      <c r="M85" s="11">
        <f t="array" ref="M85:M93">MMULT(aggregation!$B$38:$AA$46,E210:E235)</f>
        <v>200.19716540211175</v>
      </c>
      <c r="N85" s="11">
        <f t="array" ref="N85:N93">MMULT(aggregation!$B$38:$AA$46,F210:F235)</f>
        <v>101.15277930022896</v>
      </c>
      <c r="P85" s="11"/>
      <c r="Q85" s="11"/>
      <c r="R85" s="11"/>
      <c r="S85" s="11"/>
      <c r="T85" s="11"/>
      <c r="U85" s="11"/>
    </row>
    <row r="86" spans="1:30" x14ac:dyDescent="0.3">
      <c r="A86" t="str">
        <f t="shared" si="44"/>
        <v>72 Customer service occupations</v>
      </c>
      <c r="B86" s="11">
        <v>25.210169955404712</v>
      </c>
      <c r="C86" s="11">
        <v>69.765057663034852</v>
      </c>
      <c r="D86" s="11">
        <f t="shared" si="45"/>
        <v>44.554887707630144</v>
      </c>
      <c r="E86" s="11">
        <v>24.642482482738902</v>
      </c>
      <c r="F86" s="11">
        <f t="shared" si="46"/>
        <v>69.197370190369043</v>
      </c>
      <c r="G86" s="200">
        <f t="shared" si="47"/>
        <v>4.6503856503160801E-2</v>
      </c>
      <c r="I86" s="11" t="str">
        <f>I75</f>
        <v>Professional occupations</v>
      </c>
      <c r="J86" s="11">
        <v>470.10453900600555</v>
      </c>
      <c r="K86" s="11">
        <v>367.9061847121402</v>
      </c>
      <c r="L86" s="11">
        <v>-102.19835429386535</v>
      </c>
      <c r="M86" s="11">
        <v>169.27592432211492</v>
      </c>
      <c r="N86" s="11">
        <v>67.077570028249582</v>
      </c>
      <c r="P86" s="11"/>
      <c r="Q86" s="11"/>
      <c r="R86" s="11"/>
      <c r="S86" s="11"/>
      <c r="T86" s="11"/>
      <c r="U86" s="11"/>
    </row>
    <row r="87" spans="1:30" x14ac:dyDescent="0.3">
      <c r="A87" t="str">
        <f t="shared" si="44"/>
        <v>81 Process, plant and machine operatives</v>
      </c>
      <c r="B87" s="11">
        <v>9.5903367388609357</v>
      </c>
      <c r="C87" s="11">
        <v>32.101324615080252</v>
      </c>
      <c r="D87" s="11">
        <f t="shared" ref="D87:D88" si="60">C87-B87</f>
        <v>22.510987876219318</v>
      </c>
      <c r="E87" s="11">
        <v>10.643112568285281</v>
      </c>
      <c r="F87" s="11">
        <f t="shared" ref="F87:F88" si="61">SUM(D87:E87)</f>
        <v>33.1541004445046</v>
      </c>
      <c r="G87" s="200">
        <f t="shared" si="47"/>
        <v>5.1031513723573063E-2</v>
      </c>
      <c r="I87" s="11" t="str">
        <f>I76</f>
        <v>Associate professional occupations</v>
      </c>
      <c r="J87" s="11">
        <v>517.96957107660398</v>
      </c>
      <c r="K87" s="11">
        <v>357.03291341504132</v>
      </c>
      <c r="L87" s="11">
        <v>-160.93665766156272</v>
      </c>
      <c r="M87" s="11">
        <v>165.89446901846108</v>
      </c>
      <c r="N87" s="11">
        <v>4.9578113568983415</v>
      </c>
      <c r="P87" s="11"/>
      <c r="Q87" s="11"/>
      <c r="R87" s="11"/>
      <c r="S87" s="11"/>
      <c r="T87" s="11"/>
      <c r="U87" s="11"/>
    </row>
    <row r="88" spans="1:30" x14ac:dyDescent="0.3">
      <c r="A88" t="str">
        <f t="shared" si="44"/>
        <v>82 Transport and mobile machine drivers and operatives</v>
      </c>
      <c r="B88" s="11">
        <v>21.854583367274181</v>
      </c>
      <c r="C88" s="11">
        <v>58.826874655607384</v>
      </c>
      <c r="D88" s="11">
        <f t="shared" si="60"/>
        <v>36.972291288333203</v>
      </c>
      <c r="E88" s="11">
        <v>26.141578299964419</v>
      </c>
      <c r="F88" s="11">
        <f t="shared" si="61"/>
        <v>63.113869588297618</v>
      </c>
      <c r="G88" s="200">
        <f t="shared" si="47"/>
        <v>5.3847084548679591E-2</v>
      </c>
      <c r="I88" s="11" t="str">
        <f>I77</f>
        <v>Administrative and secretarial occupations</v>
      </c>
      <c r="J88" s="11">
        <v>688.12193981916005</v>
      </c>
      <c r="K88" s="11">
        <v>340.81776161917367</v>
      </c>
      <c r="L88" s="11">
        <v>-347.30417819998638</v>
      </c>
      <c r="M88" s="11">
        <v>216.91495426399999</v>
      </c>
      <c r="N88" s="11">
        <v>-130.38922393598642</v>
      </c>
      <c r="P88" s="11"/>
      <c r="Q88" s="11"/>
      <c r="R88" s="11"/>
      <c r="S88" s="11"/>
      <c r="T88" s="11"/>
      <c r="U88" s="11"/>
    </row>
    <row r="89" spans="1:30" x14ac:dyDescent="0.3">
      <c r="A89" t="str">
        <f t="shared" si="44"/>
        <v>91 Elementary trades and related occupations</v>
      </c>
      <c r="B89" s="11">
        <v>4.9949778516643741</v>
      </c>
      <c r="C89" s="11">
        <v>10.776444331218608</v>
      </c>
      <c r="D89" s="11">
        <f t="shared" si="45"/>
        <v>5.7814664795542337</v>
      </c>
      <c r="E89" s="11">
        <v>3.8649729946682099</v>
      </c>
      <c r="F89" s="11">
        <f t="shared" si="46"/>
        <v>9.6464394742224435</v>
      </c>
      <c r="G89" s="200">
        <f t="shared" si="47"/>
        <v>3.894649682843454E-2</v>
      </c>
      <c r="I89" s="11" t="str">
        <f t="shared" ref="I89:I93" si="62">I78</f>
        <v>Skilled trades occupations</v>
      </c>
      <c r="J89" s="11">
        <v>654.62258276285968</v>
      </c>
      <c r="K89" s="11">
        <v>582.32326449752486</v>
      </c>
      <c r="L89" s="11">
        <v>-72.299318265334847</v>
      </c>
      <c r="M89" s="11">
        <v>260.56432224558176</v>
      </c>
      <c r="N89" s="11">
        <v>188.26500398024692</v>
      </c>
      <c r="P89" s="11"/>
      <c r="Q89" s="11"/>
      <c r="R89" s="11"/>
      <c r="S89" s="11"/>
      <c r="T89" s="11"/>
      <c r="U89" s="11"/>
    </row>
    <row r="90" spans="1:30" x14ac:dyDescent="0.3">
      <c r="A90" t="str">
        <f t="shared" si="44"/>
        <v>92 Elementary administration and service occupations</v>
      </c>
      <c r="B90" s="11">
        <v>76.673813160893658</v>
      </c>
      <c r="C90" s="11">
        <v>218.02337305379342</v>
      </c>
      <c r="D90" s="11">
        <f t="shared" ref="D90" si="63">C90-B90</f>
        <v>141.34955989289978</v>
      </c>
      <c r="E90" s="11">
        <v>85.096079799799725</v>
      </c>
      <c r="F90" s="11">
        <f t="shared" ref="F90" si="64">SUM(D90:E90)</f>
        <v>226.4456396926995</v>
      </c>
      <c r="G90" s="200">
        <f t="shared" ref="G90" si="65">IF(B90&gt;0,(1+(E90/B90))^(1/($C$6-$B$6))-1,0)</f>
        <v>5.1033863919019984E-2</v>
      </c>
      <c r="I90" s="11" t="str">
        <f t="shared" si="62"/>
        <v>Caring, leisure and other service occupations</v>
      </c>
      <c r="J90" s="11">
        <v>647.04654085482639</v>
      </c>
      <c r="K90" s="11">
        <v>507.45304890395659</v>
      </c>
      <c r="L90" s="11">
        <v>-139.59349195086983</v>
      </c>
      <c r="M90" s="11">
        <v>286.60716703356337</v>
      </c>
      <c r="N90" s="11">
        <v>147.01367508269354</v>
      </c>
      <c r="P90" s="11"/>
      <c r="Q90" s="11"/>
      <c r="R90" s="11"/>
      <c r="S90" s="11"/>
      <c r="T90" s="11"/>
      <c r="U90" s="11"/>
    </row>
    <row r="91" spans="1:30" x14ac:dyDescent="0.3">
      <c r="A91" t="str">
        <f t="shared" si="44"/>
        <v>All occupations</v>
      </c>
      <c r="B91" s="11">
        <f>SUM(B65:B90)</f>
        <v>3765.2895086273356</v>
      </c>
      <c r="C91" s="11">
        <f t="shared" ref="C91:F91" si="66">SUM(C65:C90)</f>
        <v>6789.3769020925356</v>
      </c>
      <c r="D91" s="11">
        <f t="shared" si="66"/>
        <v>3024.0873934652</v>
      </c>
      <c r="E91" s="11">
        <f t="shared" si="66"/>
        <v>2719.9818539858752</v>
      </c>
      <c r="F91" s="11">
        <f t="shared" si="66"/>
        <v>5744.069247451077</v>
      </c>
      <c r="G91" s="200">
        <f t="shared" si="47"/>
        <v>3.6912202297387342E-2</v>
      </c>
      <c r="I91" s="11" t="str">
        <f t="shared" si="62"/>
        <v>Sales and customer service occupations</v>
      </c>
      <c r="J91" s="11">
        <v>571.0316063688532</v>
      </c>
      <c r="K91" s="11">
        <v>445.56029864517109</v>
      </c>
      <c r="L91" s="11">
        <v>-125.47130772368213</v>
      </c>
      <c r="M91" s="11">
        <v>235.8189198637541</v>
      </c>
      <c r="N91" s="11">
        <v>110.34761214007197</v>
      </c>
      <c r="P91" s="11"/>
      <c r="Q91" s="11"/>
      <c r="R91" s="11"/>
      <c r="S91" s="11"/>
      <c r="T91" s="11"/>
      <c r="U91" s="1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492.97719718761368</v>
      </c>
      <c r="K92" s="11">
        <v>566.0252590854667</v>
      </c>
      <c r="L92" s="11">
        <v>73.048061897852989</v>
      </c>
      <c r="M92" s="11">
        <v>271.05882013736084</v>
      </c>
      <c r="N92" s="11">
        <v>344.1068820352138</v>
      </c>
      <c r="P92" s="11"/>
      <c r="Q92" s="11"/>
      <c r="R92" s="11"/>
      <c r="S92" s="11"/>
      <c r="T92" s="11"/>
      <c r="U92" s="11"/>
    </row>
    <row r="93" spans="1:30" ht="24.9" x14ac:dyDescent="0.3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829.58112580359909</v>
      </c>
      <c r="K93" s="11">
        <v>745.76158496461801</v>
      </c>
      <c r="L93" s="11">
        <v>-83.819540838981112</v>
      </c>
      <c r="M93" s="11">
        <v>373.58395510566783</v>
      </c>
      <c r="N93" s="11">
        <v>289.76441426668669</v>
      </c>
      <c r="P93" s="11"/>
      <c r="Q93" s="11"/>
      <c r="R93" s="11"/>
      <c r="S93" s="11"/>
      <c r="T93" s="11"/>
      <c r="U93" s="11"/>
    </row>
    <row r="94" spans="1:30" x14ac:dyDescent="0.3">
      <c r="A94" t="str">
        <f t="shared" ref="A94:A120" si="68">A7</f>
        <v>11 Corporate managers and directors</v>
      </c>
      <c r="B94" s="11">
        <v>677.38190194145841</v>
      </c>
      <c r="C94" s="11">
        <v>723.68181126038405</v>
      </c>
      <c r="D94" s="11">
        <f>C94-B94</f>
        <v>46.299909318925643</v>
      </c>
      <c r="E94" s="11">
        <v>390.86764933574307</v>
      </c>
      <c r="F94" s="11">
        <f>SUM(D94:E94)</f>
        <v>437.16755865466871</v>
      </c>
      <c r="G94" s="200">
        <f>IF(B94&gt;0,(1+(E94/B94))^(1/($C$6-$B$6))-1,0)</f>
        <v>3.0835283819063974E-2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3">
      <c r="A95" t="str">
        <f t="shared" si="68"/>
        <v>12 Other managers and proprietors</v>
      </c>
      <c r="B95" s="11">
        <v>236.19191577325162</v>
      </c>
      <c r="C95" s="11">
        <v>373.21877898849243</v>
      </c>
      <c r="D95" s="11">
        <f t="shared" ref="D95:D118" si="69">C95-B95</f>
        <v>137.02686321524081</v>
      </c>
      <c r="E95" s="11">
        <v>206.3532381088333</v>
      </c>
      <c r="F95" s="11">
        <f t="shared" ref="F95:F118" si="70">SUM(D95:E95)</f>
        <v>343.38010132407408</v>
      </c>
      <c r="G95" s="200">
        <f t="shared" ref="G95:G120" si="71">IF(B95&gt;0,(1+(E95/B95))^(1/($C$6-$B$6))-1,0)</f>
        <v>4.2748332540149203E-2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3">
      <c r="A96" t="str">
        <f t="shared" si="68"/>
        <v>21 Science, research, engineering and technology professionals</v>
      </c>
      <c r="B96" s="11">
        <v>638.40250635618258</v>
      </c>
      <c r="C96" s="11">
        <v>669.90101424095553</v>
      </c>
      <c r="D96" s="11">
        <f t="shared" si="69"/>
        <v>31.498507884772948</v>
      </c>
      <c r="E96" s="11">
        <v>262.37427003674168</v>
      </c>
      <c r="F96" s="11">
        <f t="shared" si="70"/>
        <v>293.87277792151463</v>
      </c>
      <c r="G96" s="200">
        <f t="shared" si="71"/>
        <v>2.3218004017236504E-2</v>
      </c>
      <c r="I96" s="11" t="str">
        <f>I85</f>
        <v>Managers, directors and senior officials</v>
      </c>
      <c r="J96" s="11">
        <f t="array" ref="J96:J104">MMULT(aggregation!$B$38:$AA$46,B239:B264)</f>
        <v>318.81341638100548</v>
      </c>
      <c r="K96" s="11">
        <f t="array" ref="K96:K104">MMULT(aggregation!$B$38:$AA$46,C239:C264)</f>
        <v>227.0456285836018</v>
      </c>
      <c r="L96" s="11">
        <f t="array" ref="L96:L104">MMULT(aggregation!$B$38:$AA$46,D239:D264)</f>
        <v>-91.767787797403685</v>
      </c>
      <c r="M96" s="11">
        <f t="array" ref="M96:M104">MMULT(aggregation!$B$38:$AA$46,E239:E264)</f>
        <v>120.92479722096297</v>
      </c>
      <c r="N96" s="11">
        <f t="array" ref="N96:N104">MMULT(aggregation!$B$38:$AA$46,F239:F264)</f>
        <v>29.15700942355928</v>
      </c>
      <c r="P96" s="11"/>
      <c r="Q96" s="11"/>
      <c r="R96" s="11"/>
      <c r="S96" s="11"/>
      <c r="T96" s="11"/>
      <c r="U96" s="11"/>
    </row>
    <row r="97" spans="1:21" x14ac:dyDescent="0.3">
      <c r="A97" t="str">
        <f t="shared" si="68"/>
        <v>22 Health professionals</v>
      </c>
      <c r="B97" s="11">
        <v>502.03871807858548</v>
      </c>
      <c r="C97" s="11">
        <v>598.15162445855049</v>
      </c>
      <c r="D97" s="11">
        <f t="shared" si="69"/>
        <v>96.112906379965011</v>
      </c>
      <c r="E97" s="11">
        <v>324.06657946408365</v>
      </c>
      <c r="F97" s="11">
        <f t="shared" si="70"/>
        <v>420.17948584404866</v>
      </c>
      <c r="G97" s="200">
        <f t="shared" si="71"/>
        <v>3.3760371290928459E-2</v>
      </c>
      <c r="I97" s="11" t="str">
        <f>I86</f>
        <v>Professional occupations</v>
      </c>
      <c r="J97" s="11">
        <v>290.90527509294634</v>
      </c>
      <c r="K97" s="11">
        <v>184.90764861821677</v>
      </c>
      <c r="L97" s="11">
        <v>-105.99762647472954</v>
      </c>
      <c r="M97" s="11">
        <v>88.744301022969807</v>
      </c>
      <c r="N97" s="11">
        <v>-17.253325451759743</v>
      </c>
      <c r="P97" s="11"/>
      <c r="Q97" s="11"/>
      <c r="R97" s="11"/>
      <c r="S97" s="11"/>
      <c r="T97" s="11"/>
      <c r="U97" s="11"/>
    </row>
    <row r="98" spans="1:21" x14ac:dyDescent="0.3">
      <c r="A98" t="str">
        <f t="shared" si="68"/>
        <v>23 Teaching and other educational professionals</v>
      </c>
      <c r="B98" s="11">
        <v>397.63249691655278</v>
      </c>
      <c r="C98" s="11">
        <v>267.68537630321435</v>
      </c>
      <c r="D98" s="11">
        <f t="shared" ref="D98" si="72">C98-B98</f>
        <v>-129.94712061333843</v>
      </c>
      <c r="E98" s="11">
        <v>167.17070286500299</v>
      </c>
      <c r="F98" s="11">
        <f t="shared" ref="F98" si="73">SUM(D98:E98)</f>
        <v>37.223582251664567</v>
      </c>
      <c r="G98" s="200">
        <f t="shared" si="71"/>
        <v>2.367245760018255E-2</v>
      </c>
      <c r="I98" s="11" t="str">
        <f>I87</f>
        <v>Associate professional occupations</v>
      </c>
      <c r="J98" s="11">
        <v>317.49156153786015</v>
      </c>
      <c r="K98" s="11">
        <v>182.42884008663094</v>
      </c>
      <c r="L98" s="11">
        <v>-135.06272145122921</v>
      </c>
      <c r="M98" s="11">
        <v>85.6638840873769</v>
      </c>
      <c r="N98" s="11">
        <v>-49.398837363852287</v>
      </c>
      <c r="P98" s="11"/>
      <c r="Q98" s="11"/>
      <c r="R98" s="11"/>
      <c r="S98" s="11"/>
      <c r="T98" s="11"/>
      <c r="U98" s="11"/>
    </row>
    <row r="99" spans="1:21" x14ac:dyDescent="0.3">
      <c r="A99" t="str">
        <f t="shared" si="68"/>
        <v>24 Business, media and public service professionals</v>
      </c>
      <c r="B99" s="11">
        <v>864.5207406296056</v>
      </c>
      <c r="C99" s="11">
        <v>947.98858974285997</v>
      </c>
      <c r="D99" s="11">
        <f t="shared" si="69"/>
        <v>83.467849113254374</v>
      </c>
      <c r="E99" s="11">
        <v>480.29622234371652</v>
      </c>
      <c r="F99" s="11">
        <f t="shared" si="70"/>
        <v>563.7640714569709</v>
      </c>
      <c r="G99" s="200">
        <f t="shared" si="71"/>
        <v>2.9893974911224364E-2</v>
      </c>
      <c r="I99" s="11" t="str">
        <f>I88</f>
        <v>Administrative and secretarial occupations</v>
      </c>
      <c r="J99" s="11">
        <v>387.06522638972024</v>
      </c>
      <c r="K99" s="11">
        <v>82.989388061465633</v>
      </c>
      <c r="L99" s="11">
        <v>-304.07583832825463</v>
      </c>
      <c r="M99" s="11">
        <v>77.259674429330303</v>
      </c>
      <c r="N99" s="11">
        <v>-226.81616389892432</v>
      </c>
      <c r="P99" s="11"/>
      <c r="Q99" s="11"/>
      <c r="R99" s="11"/>
      <c r="S99" s="11"/>
      <c r="T99" s="11"/>
      <c r="U99" s="11"/>
    </row>
    <row r="100" spans="1:21" x14ac:dyDescent="0.3">
      <c r="A100" t="str">
        <f t="shared" si="68"/>
        <v>31 Science, engineering and technology associate professionals</v>
      </c>
      <c r="B100" s="11">
        <v>160.4121955974224</v>
      </c>
      <c r="C100" s="11">
        <v>160.0292740167387</v>
      </c>
      <c r="D100" s="11">
        <f t="shared" si="69"/>
        <v>-0.38292158068369986</v>
      </c>
      <c r="E100" s="11">
        <v>68.791194397957355</v>
      </c>
      <c r="F100" s="11">
        <f t="shared" si="70"/>
        <v>68.408272817273655</v>
      </c>
      <c r="G100" s="200">
        <f t="shared" si="71"/>
        <v>2.4076130477078905E-2</v>
      </c>
      <c r="I100" s="11" t="str">
        <f t="shared" ref="I100:I104" si="74">I89</f>
        <v>Skilled trades occupations</v>
      </c>
      <c r="J100" s="11">
        <v>387.1389087345205</v>
      </c>
      <c r="K100" s="11">
        <v>306.10820638186874</v>
      </c>
      <c r="L100" s="11">
        <v>-81.030702352651758</v>
      </c>
      <c r="M100" s="11">
        <v>134.78915778432489</v>
      </c>
      <c r="N100" s="11">
        <v>53.758455431673141</v>
      </c>
      <c r="P100" s="11"/>
      <c r="Q100" s="11"/>
      <c r="R100" s="11"/>
      <c r="S100" s="11"/>
      <c r="T100" s="11"/>
      <c r="U100" s="11"/>
    </row>
    <row r="101" spans="1:21" x14ac:dyDescent="0.3">
      <c r="A101" t="str">
        <f t="shared" si="68"/>
        <v>32 Health and social care associate professionals</v>
      </c>
      <c r="B101" s="11">
        <v>177.16964140077187</v>
      </c>
      <c r="C101" s="11">
        <v>228.92452343904515</v>
      </c>
      <c r="D101" s="11">
        <f t="shared" si="69"/>
        <v>51.75488203827328</v>
      </c>
      <c r="E101" s="11">
        <v>129.80345407918244</v>
      </c>
      <c r="F101" s="11">
        <f t="shared" si="70"/>
        <v>181.55833611745572</v>
      </c>
      <c r="G101" s="200">
        <f t="shared" si="71"/>
        <v>3.7323142799368991E-2</v>
      </c>
      <c r="I101" s="11" t="str">
        <f t="shared" si="74"/>
        <v>Caring, leisure and other service occupations</v>
      </c>
      <c r="J101" s="11">
        <v>187.8910774270567</v>
      </c>
      <c r="K101" s="11">
        <v>130.6335496604633</v>
      </c>
      <c r="L101" s="11">
        <v>-57.257527766593377</v>
      </c>
      <c r="M101" s="11">
        <v>57.617702001779982</v>
      </c>
      <c r="N101" s="11">
        <v>0.3601742351866033</v>
      </c>
      <c r="P101" s="11"/>
      <c r="Q101" s="11"/>
      <c r="R101" s="11"/>
      <c r="S101" s="11"/>
      <c r="T101" s="11"/>
      <c r="U101" s="11"/>
    </row>
    <row r="102" spans="1:21" x14ac:dyDescent="0.3">
      <c r="A102" t="str">
        <f t="shared" si="68"/>
        <v>33 Protective service occupations</v>
      </c>
      <c r="B102" s="11">
        <v>86.310332353774967</v>
      </c>
      <c r="C102" s="11">
        <v>154.64843553666663</v>
      </c>
      <c r="D102" s="11">
        <f t="shared" si="69"/>
        <v>68.338103182891658</v>
      </c>
      <c r="E102" s="11">
        <v>52.255786129604893</v>
      </c>
      <c r="F102" s="11">
        <f t="shared" si="70"/>
        <v>120.59388931249654</v>
      </c>
      <c r="G102" s="200">
        <f t="shared" si="71"/>
        <v>3.2063179506478079E-2</v>
      </c>
      <c r="I102" s="11" t="str">
        <f t="shared" si="74"/>
        <v>Sales and customer service occupations</v>
      </c>
      <c r="J102" s="11">
        <v>365.82937731246136</v>
      </c>
      <c r="K102" s="11">
        <v>152.89735996718844</v>
      </c>
      <c r="L102" s="11">
        <v>-212.93201734527293</v>
      </c>
      <c r="M102" s="11">
        <v>91.549597029218802</v>
      </c>
      <c r="N102" s="11">
        <v>-121.38242031605414</v>
      </c>
      <c r="P102" s="11"/>
      <c r="Q102" s="11"/>
      <c r="R102" s="11"/>
      <c r="S102" s="11"/>
      <c r="T102" s="11"/>
      <c r="U102" s="11"/>
    </row>
    <row r="103" spans="1:21" x14ac:dyDescent="0.3">
      <c r="A103" t="str">
        <f t="shared" si="68"/>
        <v>34 Culture, media and sports occupations</v>
      </c>
      <c r="B103" s="11">
        <v>262.49689577770812</v>
      </c>
      <c r="C103" s="11">
        <v>263.22758675558998</v>
      </c>
      <c r="D103" s="11">
        <f t="shared" ref="D103:D104" si="75">C103-B103</f>
        <v>0.73069097788186355</v>
      </c>
      <c r="E103" s="11">
        <v>125.58872609035251</v>
      </c>
      <c r="F103" s="11">
        <f t="shared" ref="F103:F104" si="76">SUM(D103:E103)</f>
        <v>126.31941706823437</v>
      </c>
      <c r="G103" s="200">
        <f t="shared" si="71"/>
        <v>2.6408465717343566E-2</v>
      </c>
      <c r="I103" s="11" t="str">
        <f t="shared" si="74"/>
        <v>Process, plant and machine operatives</v>
      </c>
      <c r="J103" s="11">
        <v>402.13208671161226</v>
      </c>
      <c r="K103" s="11">
        <v>266.76190842652602</v>
      </c>
      <c r="L103" s="11">
        <v>-135.37017828508621</v>
      </c>
      <c r="M103" s="11">
        <v>149.9430225197213</v>
      </c>
      <c r="N103" s="11">
        <v>14.572844234635077</v>
      </c>
      <c r="P103" s="11"/>
      <c r="Q103" s="11"/>
      <c r="R103" s="11"/>
      <c r="S103" s="11"/>
      <c r="T103" s="11"/>
      <c r="U103" s="11"/>
    </row>
    <row r="104" spans="1:21" x14ac:dyDescent="0.3">
      <c r="A104" t="str">
        <f t="shared" si="68"/>
        <v>35 Business and public service associate professionals</v>
      </c>
      <c r="B104" s="11">
        <v>558.11337973991806</v>
      </c>
      <c r="C104" s="11">
        <v>544.07273468235621</v>
      </c>
      <c r="D104" s="11">
        <f t="shared" si="75"/>
        <v>-14.040645057561846</v>
      </c>
      <c r="E104" s="11">
        <v>275.83024095196117</v>
      </c>
      <c r="F104" s="11">
        <f t="shared" si="76"/>
        <v>261.78959589439933</v>
      </c>
      <c r="G104" s="200">
        <f t="shared" si="71"/>
        <v>2.7135210269487953E-2</v>
      </c>
      <c r="I104" s="11" t="str">
        <f t="shared" si="74"/>
        <v>Elementary occupations</v>
      </c>
      <c r="J104" s="11">
        <v>776.07386792939928</v>
      </c>
      <c r="K104" s="11">
        <v>515.93860217802387</v>
      </c>
      <c r="L104" s="11">
        <v>-260.13526575137541</v>
      </c>
      <c r="M104" s="11">
        <v>260.21041907926082</v>
      </c>
      <c r="N104" s="11">
        <v>7.5153327885367105E-2</v>
      </c>
      <c r="P104" s="11"/>
      <c r="Q104" s="11"/>
      <c r="R104" s="11"/>
      <c r="S104" s="11"/>
      <c r="T104" s="11"/>
      <c r="U104" s="11"/>
    </row>
    <row r="105" spans="1:21" x14ac:dyDescent="0.3">
      <c r="A105" t="str">
        <f t="shared" si="68"/>
        <v>41 Administrative occupations</v>
      </c>
      <c r="B105" s="11">
        <v>539.22968687270304</v>
      </c>
      <c r="C105" s="11">
        <v>629.7245825832083</v>
      </c>
      <c r="D105" s="11">
        <f t="shared" si="69"/>
        <v>90.494895710505261</v>
      </c>
      <c r="E105" s="11">
        <v>324.19307983688054</v>
      </c>
      <c r="F105" s="11">
        <f t="shared" si="70"/>
        <v>414.6879755473858</v>
      </c>
      <c r="G105" s="200">
        <f t="shared" si="71"/>
        <v>3.188186548075711E-2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3">
      <c r="A106" t="str">
        <f t="shared" si="68"/>
        <v>42 Secretarial and related occupations</v>
      </c>
      <c r="B106" s="11">
        <v>92.793487779408665</v>
      </c>
      <c r="C106" s="11">
        <v>183.71611345875917</v>
      </c>
      <c r="D106" s="11">
        <f t="shared" si="69"/>
        <v>90.922625679350503</v>
      </c>
      <c r="E106" s="11">
        <v>89.828634293698798</v>
      </c>
      <c r="F106" s="11">
        <f t="shared" si="70"/>
        <v>180.75125997304929</v>
      </c>
      <c r="G106" s="200">
        <f t="shared" si="71"/>
        <v>4.6170314107222721E-2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3">
      <c r="A107" t="str">
        <f t="shared" si="68"/>
        <v>51 Skilled agricultural and related trades</v>
      </c>
      <c r="B107" s="11">
        <v>40.820132999099485</v>
      </c>
      <c r="C107" s="11">
        <v>66.274403938201587</v>
      </c>
      <c r="D107" s="11">
        <f t="shared" si="69"/>
        <v>25.454270939102102</v>
      </c>
      <c r="E107" s="11">
        <v>36.379699306290085</v>
      </c>
      <c r="F107" s="11">
        <f t="shared" si="70"/>
        <v>61.833970245392187</v>
      </c>
      <c r="G107" s="200">
        <f t="shared" si="71"/>
        <v>4.3396709480863827E-2</v>
      </c>
      <c r="I107" s="11" t="str">
        <f>I96</f>
        <v>Managers, directors and senior officials</v>
      </c>
      <c r="J107" s="11">
        <f t="array" ref="J107:J115">MMULT(aggregation!$B$38:$AA$46,B268:B293)</f>
        <v>75.000208987352721</v>
      </c>
      <c r="K107" s="11">
        <f t="array" ref="K107:K115">MMULT(aggregation!$B$38:$AA$46,C268:C293)</f>
        <v>75.749148461239798</v>
      </c>
      <c r="L107" s="11">
        <f t="array" ref="L107:L115">MMULT(aggregation!$B$38:$AA$46,D268:D293)</f>
        <v>0.74893947388707005</v>
      </c>
      <c r="M107" s="11">
        <f t="array" ref="M107:M115">MMULT(aggregation!$B$38:$AA$46,E268:E293)</f>
        <v>26.175453398751962</v>
      </c>
      <c r="N107" s="11">
        <f t="array" ref="N107:N115">MMULT(aggregation!$B$38:$AA$46,F268:F293)</f>
        <v>26.924392872639032</v>
      </c>
      <c r="P107" s="11"/>
      <c r="Q107" s="11"/>
      <c r="R107" s="11"/>
      <c r="S107" s="11"/>
      <c r="T107" s="11"/>
      <c r="U107" s="11"/>
    </row>
    <row r="108" spans="1:21" x14ac:dyDescent="0.3">
      <c r="A108" t="str">
        <f t="shared" si="68"/>
        <v>52 Skilled metal, electrical and electronic trades</v>
      </c>
      <c r="B108" s="11">
        <v>53.284065891211966</v>
      </c>
      <c r="C108" s="11">
        <v>84.379448541187173</v>
      </c>
      <c r="D108" s="11">
        <f t="shared" si="69"/>
        <v>31.095382649975207</v>
      </c>
      <c r="E108" s="11">
        <v>35.517662164125106</v>
      </c>
      <c r="F108" s="11">
        <f t="shared" si="70"/>
        <v>66.613044814100306</v>
      </c>
      <c r="G108" s="200">
        <f t="shared" si="71"/>
        <v>3.4637632258459394E-2</v>
      </c>
      <c r="I108" s="11" t="str">
        <f>I97</f>
        <v>Professional occupations</v>
      </c>
      <c r="J108" s="11">
        <v>64.460003085001986</v>
      </c>
      <c r="K108" s="11">
        <v>77.569271936085002</v>
      </c>
      <c r="L108" s="11">
        <v>13.109268851083016</v>
      </c>
      <c r="M108" s="11">
        <v>24.860199944262334</v>
      </c>
      <c r="N108" s="11">
        <v>37.96946879534535</v>
      </c>
      <c r="P108" s="84"/>
      <c r="Q108" s="73"/>
      <c r="R108" s="73"/>
      <c r="S108" s="71"/>
      <c r="T108" s="71"/>
      <c r="U108" s="71"/>
    </row>
    <row r="109" spans="1:21" x14ac:dyDescent="0.3">
      <c r="A109" t="str">
        <f t="shared" si="68"/>
        <v>53 Skilled construction and building trades</v>
      </c>
      <c r="B109" s="11">
        <v>29.339671270682373</v>
      </c>
      <c r="C109" s="11">
        <v>44.543100228968257</v>
      </c>
      <c r="D109" s="11">
        <f t="shared" ref="D109" si="77">C109-B109</f>
        <v>15.203428958285883</v>
      </c>
      <c r="E109" s="11">
        <v>20.86994599247172</v>
      </c>
      <c r="F109" s="11">
        <f t="shared" ref="F109" si="78">SUM(D109:E109)</f>
        <v>36.073374950757604</v>
      </c>
      <c r="G109" s="200">
        <f t="shared" si="71"/>
        <v>3.6466917201280591E-2</v>
      </c>
      <c r="I109" s="11" t="str">
        <f>I98</f>
        <v>Associate professional occupations</v>
      </c>
      <c r="J109" s="11">
        <v>69.956683769535601</v>
      </c>
      <c r="K109" s="11">
        <v>71.900959764064282</v>
      </c>
      <c r="L109" s="11">
        <v>1.9442759945286667</v>
      </c>
      <c r="M109" s="11">
        <v>22.560356372415125</v>
      </c>
      <c r="N109" s="11">
        <v>24.504632366943795</v>
      </c>
      <c r="P109" s="11"/>
      <c r="Q109" s="11"/>
      <c r="R109" s="11"/>
      <c r="S109" s="11"/>
      <c r="T109" s="11"/>
      <c r="U109" s="11"/>
    </row>
    <row r="110" spans="1:21" x14ac:dyDescent="0.3">
      <c r="A110" t="str">
        <f t="shared" si="68"/>
        <v>54 Textiles, printing and other skilled trades</v>
      </c>
      <c r="B110" s="11">
        <v>51.834151573103384</v>
      </c>
      <c r="C110" s="11">
        <v>80.9481863362534</v>
      </c>
      <c r="D110" s="11">
        <f t="shared" si="69"/>
        <v>29.114034763150016</v>
      </c>
      <c r="E110" s="11">
        <v>38.272375648023413</v>
      </c>
      <c r="F110" s="11">
        <f t="shared" si="70"/>
        <v>67.386410411173429</v>
      </c>
      <c r="G110" s="200">
        <f t="shared" si="71"/>
        <v>3.7550754394899633E-2</v>
      </c>
      <c r="I110" s="11" t="str">
        <f>I99</f>
        <v>Administrative and secretarial occupations</v>
      </c>
      <c r="J110" s="11">
        <v>99.26631576950291</v>
      </c>
      <c r="K110" s="11">
        <v>68.52037278311056</v>
      </c>
      <c r="L110" s="11">
        <v>-30.74594298639235</v>
      </c>
      <c r="M110" s="11">
        <v>27.789444824737942</v>
      </c>
      <c r="N110" s="11">
        <v>-2.9564981616544106</v>
      </c>
      <c r="P110" s="11"/>
      <c r="Q110" s="11"/>
      <c r="R110" s="11"/>
      <c r="S110" s="11"/>
      <c r="T110" s="11"/>
      <c r="U110" s="11"/>
    </row>
    <row r="111" spans="1:21" x14ac:dyDescent="0.3">
      <c r="A111" t="str">
        <f t="shared" si="68"/>
        <v>61 Caring personal service occupations</v>
      </c>
      <c r="B111" s="11">
        <v>264.23370425746685</v>
      </c>
      <c r="C111" s="11">
        <v>386.0730326710177</v>
      </c>
      <c r="D111" s="11">
        <f>C111-B111</f>
        <v>121.83932841355085</v>
      </c>
      <c r="E111" s="11">
        <v>217.86073622790465</v>
      </c>
      <c r="F111" s="11">
        <f>SUM(D111:E111)</f>
        <v>339.70006464145547</v>
      </c>
      <c r="G111" s="200">
        <f t="shared" si="71"/>
        <v>4.0901403233838174E-2</v>
      </c>
      <c r="I111" s="11" t="str">
        <f t="shared" ref="I111:I115" si="79">I100</f>
        <v>Skilled trades occupations</v>
      </c>
      <c r="J111" s="11">
        <v>173.32540213782272</v>
      </c>
      <c r="K111" s="11">
        <v>71.263111386097989</v>
      </c>
      <c r="L111" s="11">
        <v>-102.06229075172475</v>
      </c>
      <c r="M111" s="11">
        <v>37.801164624671713</v>
      </c>
      <c r="N111" s="11">
        <v>-64.261126127053032</v>
      </c>
      <c r="P111" s="11"/>
      <c r="Q111" s="11"/>
      <c r="R111" s="11"/>
      <c r="S111" s="11"/>
      <c r="T111" s="11"/>
      <c r="U111" s="11"/>
    </row>
    <row r="112" spans="1:21" x14ac:dyDescent="0.3">
      <c r="A112" t="str">
        <f t="shared" si="68"/>
        <v>62 Leisure, travel and related personal service occupations</v>
      </c>
      <c r="B112" s="11">
        <v>71.146449123055973</v>
      </c>
      <c r="C112" s="11">
        <v>118.73861121229693</v>
      </c>
      <c r="D112" s="11">
        <f t="shared" ref="D112:D113" si="80">C112-B112</f>
        <v>47.592162089240958</v>
      </c>
      <c r="E112" s="11">
        <v>59.160241947043346</v>
      </c>
      <c r="F112" s="11">
        <f t="shared" ref="F112:F113" si="81">SUM(D112:E112)</f>
        <v>106.7524040362843</v>
      </c>
      <c r="G112" s="200">
        <f t="shared" si="71"/>
        <v>4.1168209569395042E-2</v>
      </c>
      <c r="I112" s="11" t="str">
        <f t="shared" si="79"/>
        <v>Caring, leisure and other service occupations</v>
      </c>
      <c r="J112" s="11">
        <v>53.969241466225931</v>
      </c>
      <c r="K112" s="11">
        <v>41.198295469910725</v>
      </c>
      <c r="L112" s="11">
        <v>-12.770945996315211</v>
      </c>
      <c r="M112" s="11">
        <v>13.935019529775882</v>
      </c>
      <c r="N112" s="11">
        <v>1.1640735334606727</v>
      </c>
      <c r="P112" s="11"/>
      <c r="Q112" s="11"/>
      <c r="R112" s="11"/>
      <c r="S112" s="11"/>
      <c r="T112" s="11"/>
      <c r="U112" s="11"/>
    </row>
    <row r="113" spans="1:21" x14ac:dyDescent="0.3">
      <c r="A113" t="str">
        <f t="shared" si="68"/>
        <v>63 Community and civil enforcement occupations</v>
      </c>
      <c r="B113" s="11">
        <v>5.6498337867502935</v>
      </c>
      <c r="C113" s="11">
        <v>7.58538153534864</v>
      </c>
      <c r="D113" s="11">
        <f t="shared" si="80"/>
        <v>1.9355477485983466</v>
      </c>
      <c r="E113" s="11">
        <v>4.2685960039851629</v>
      </c>
      <c r="F113" s="11">
        <f t="shared" si="81"/>
        <v>6.2041437525835095</v>
      </c>
      <c r="G113" s="200">
        <f t="shared" si="71"/>
        <v>3.8230580903222622E-2</v>
      </c>
      <c r="I113" s="11" t="str">
        <f t="shared" si="79"/>
        <v>Sales and customer service occupations</v>
      </c>
      <c r="J113" s="11">
        <v>132.93392717293261</v>
      </c>
      <c r="K113" s="11">
        <v>80.539694221516996</v>
      </c>
      <c r="L113" s="11">
        <v>-52.394232951415603</v>
      </c>
      <c r="M113" s="11">
        <v>28.596943876494251</v>
      </c>
      <c r="N113" s="11">
        <v>-23.797289074921352</v>
      </c>
      <c r="P113" s="11"/>
      <c r="Q113" s="11"/>
      <c r="R113" s="11"/>
      <c r="S113" s="11"/>
      <c r="T113" s="11"/>
      <c r="U113" s="11"/>
    </row>
    <row r="114" spans="1:21" x14ac:dyDescent="0.3">
      <c r="A114" t="str">
        <f t="shared" si="68"/>
        <v>71 Sales occupations</v>
      </c>
      <c r="B114" s="11">
        <v>259.75143029010133</v>
      </c>
      <c r="C114" s="11">
        <v>352.00037841839725</v>
      </c>
      <c r="D114" s="11">
        <f t="shared" si="69"/>
        <v>92.248948128295922</v>
      </c>
      <c r="E114" s="11">
        <v>165.59804623885205</v>
      </c>
      <c r="F114" s="11">
        <f t="shared" si="70"/>
        <v>257.846994367148</v>
      </c>
      <c r="G114" s="200">
        <f t="shared" si="71"/>
        <v>3.3425555560775422E-2</v>
      </c>
      <c r="I114" s="11" t="str">
        <f t="shared" si="79"/>
        <v>Process, plant and machine operatives</v>
      </c>
      <c r="J114" s="11">
        <v>175.34859388638776</v>
      </c>
      <c r="K114" s="11">
        <v>71.344740181142953</v>
      </c>
      <c r="L114" s="11">
        <v>-104.00385370524481</v>
      </c>
      <c r="M114" s="11">
        <v>41.620455838965256</v>
      </c>
      <c r="N114" s="11">
        <v>-62.383397866279559</v>
      </c>
      <c r="P114" s="11"/>
      <c r="Q114" s="11"/>
      <c r="R114" s="11"/>
      <c r="S114" s="11"/>
      <c r="T114" s="11"/>
      <c r="U114" s="11"/>
    </row>
    <row r="115" spans="1:21" x14ac:dyDescent="0.3">
      <c r="A115" t="str">
        <f t="shared" si="68"/>
        <v>72 Customer service occupations</v>
      </c>
      <c r="B115" s="11">
        <v>89.460063459699242</v>
      </c>
      <c r="C115" s="11">
        <v>162.51518059421974</v>
      </c>
      <c r="D115" s="11">
        <f t="shared" si="69"/>
        <v>73.055117134520501</v>
      </c>
      <c r="E115" s="11">
        <v>68.594412012259056</v>
      </c>
      <c r="F115" s="11">
        <f t="shared" si="70"/>
        <v>141.64952914677957</v>
      </c>
      <c r="G115" s="200">
        <f t="shared" si="71"/>
        <v>3.8672196376345891E-2</v>
      </c>
      <c r="I115" s="11" t="str">
        <f t="shared" si="79"/>
        <v>Elementary occupations</v>
      </c>
      <c r="J115" s="11">
        <v>295.03935165591469</v>
      </c>
      <c r="K115" s="11">
        <v>135.95364113459021</v>
      </c>
      <c r="L115" s="11">
        <v>-159.08571052132447</v>
      </c>
      <c r="M115" s="11">
        <v>54.372056048749087</v>
      </c>
      <c r="N115" s="11">
        <v>-104.71365447257537</v>
      </c>
      <c r="P115" s="11"/>
      <c r="Q115" s="11"/>
      <c r="R115" s="11"/>
      <c r="S115" s="11"/>
      <c r="T115" s="11"/>
      <c r="U115" s="11"/>
    </row>
    <row r="116" spans="1:21" x14ac:dyDescent="0.3">
      <c r="A116" t="str">
        <f t="shared" si="68"/>
        <v>81 Process, plant and machine operatives</v>
      </c>
      <c r="B116" s="11">
        <v>23.691286304014007</v>
      </c>
      <c r="C116" s="11">
        <v>63.958510747649207</v>
      </c>
      <c r="D116" s="11">
        <f t="shared" ref="D116:D117" si="82">C116-B116</f>
        <v>40.2672244436352</v>
      </c>
      <c r="E116" s="11">
        <v>23.542409183279563</v>
      </c>
      <c r="F116" s="11">
        <f t="shared" ref="F116:F117" si="83">SUM(D116:E116)</f>
        <v>63.80963362691476</v>
      </c>
      <c r="G116" s="200">
        <f t="shared" si="71"/>
        <v>4.7074425706715051E-2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3">
      <c r="A117" t="str">
        <f t="shared" si="68"/>
        <v>82 Transport and mobile machine drivers and operatives</v>
      </c>
      <c r="B117" s="11">
        <v>59.435814813232163</v>
      </c>
      <c r="C117" s="11">
        <v>99.778227133515472</v>
      </c>
      <c r="D117" s="11">
        <f t="shared" si="82"/>
        <v>40.342412320283309</v>
      </c>
      <c r="E117" s="11">
        <v>55.246555405999267</v>
      </c>
      <c r="F117" s="11">
        <f t="shared" si="83"/>
        <v>95.588967726282576</v>
      </c>
      <c r="G117" s="200">
        <f t="shared" si="71"/>
        <v>4.4792138129629011E-2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3">
      <c r="A118" t="str">
        <f t="shared" si="68"/>
        <v>91 Elementary trades and related occupations</v>
      </c>
      <c r="B118" s="11">
        <v>17.011527991612063</v>
      </c>
      <c r="C118" s="11">
        <v>19.247927995105687</v>
      </c>
      <c r="D118" s="11">
        <f t="shared" si="69"/>
        <v>2.2364000034936247</v>
      </c>
      <c r="E118" s="11">
        <v>10.367697997905095</v>
      </c>
      <c r="F118" s="11">
        <f t="shared" si="70"/>
        <v>12.60409800139872</v>
      </c>
      <c r="G118" s="200">
        <f t="shared" si="71"/>
        <v>3.2234862654388907E-2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3">
      <c r="A119" t="str">
        <f t="shared" si="68"/>
        <v>92 Elementary administration and service occupations</v>
      </c>
      <c r="B119" s="11">
        <v>233.43367381882743</v>
      </c>
      <c r="C119" s="11">
        <v>369.00176872412516</v>
      </c>
      <c r="D119" s="11">
        <f t="shared" ref="D119" si="84">C119-B119</f>
        <v>135.56809490529773</v>
      </c>
      <c r="E119" s="11">
        <v>197.91009621148464</v>
      </c>
      <c r="F119" s="11">
        <f t="shared" ref="F119" si="85">SUM(D119:E119)</f>
        <v>333.47819111678234</v>
      </c>
      <c r="G119" s="200">
        <f t="shared" ref="G119" si="86">IF(B119&gt;0,(1+(E119/B119))^(1/($C$6-$B$6))-1,0)</f>
        <v>4.1783164851928678E-2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3">
      <c r="A120" t="str">
        <f t="shared" si="68"/>
        <v>All occupations</v>
      </c>
      <c r="B120" s="11">
        <f>SUM(B94:B119)</f>
        <v>6391.7857047962016</v>
      </c>
      <c r="C120" s="11">
        <f t="shared" ref="C120:F120" si="87">SUM(C94:C119)</f>
        <v>7600.014603543108</v>
      </c>
      <c r="D120" s="11">
        <f t="shared" si="87"/>
        <v>1208.2288987469069</v>
      </c>
      <c r="E120" s="11">
        <f t="shared" si="87"/>
        <v>3831.0082522733819</v>
      </c>
      <c r="F120" s="11">
        <f t="shared" si="87"/>
        <v>5039.2371510202875</v>
      </c>
      <c r="G120" s="200">
        <f t="shared" si="71"/>
        <v>3.1802304282717353E-2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24.9" x14ac:dyDescent="0.3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3">
      <c r="A123" t="str">
        <f t="shared" ref="A123:A149" si="89">A36</f>
        <v>11 Corporate managers and directors</v>
      </c>
      <c r="B123" s="11">
        <v>125.51937758512969</v>
      </c>
      <c r="C123" s="11">
        <v>122.81543065602975</v>
      </c>
      <c r="D123" s="11">
        <f>C123-B123</f>
        <v>-2.7039469290999421</v>
      </c>
      <c r="E123" s="11">
        <v>63.036448798154204</v>
      </c>
      <c r="F123" s="11">
        <f>SUM(D123:E123)</f>
        <v>60.332501869054262</v>
      </c>
      <c r="G123" s="200">
        <f>IF(B123&gt;0,(1+(E123/B123))^(1/($C$6-$B$6))-1,0)</f>
        <v>2.7500271512120422E-2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3">
      <c r="A124" t="str">
        <f t="shared" si="89"/>
        <v>12 Other managers and proprietors</v>
      </c>
      <c r="B124" s="11">
        <v>67.326086686381174</v>
      </c>
      <c r="C124" s="11">
        <v>99.277563165448882</v>
      </c>
      <c r="D124" s="11">
        <f t="shared" ref="D124:D139" si="90">C124-B124</f>
        <v>31.951476479067708</v>
      </c>
      <c r="E124" s="11">
        <v>55.247318243072684</v>
      </c>
      <c r="F124" s="11">
        <f t="shared" ref="F124:F131" si="91">SUM(D124:E124)</f>
        <v>87.198794722140391</v>
      </c>
      <c r="G124" s="200">
        <f t="shared" ref="G124:G149" si="92">IF(B124&gt;0,(1+(E124/B124))^(1/($C$6-$B$6))-1,0)</f>
        <v>4.0752649653642559E-2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3">
      <c r="A125" t="str">
        <f t="shared" si="89"/>
        <v>21 Science, research, engineering and technology professionals</v>
      </c>
      <c r="B125" s="11">
        <v>69.227298777665112</v>
      </c>
      <c r="C125" s="11">
        <v>77.609314038034697</v>
      </c>
      <c r="D125" s="11">
        <f t="shared" si="90"/>
        <v>8.3820152603695846</v>
      </c>
      <c r="E125" s="11">
        <v>28.535244779405165</v>
      </c>
      <c r="F125" s="11">
        <f t="shared" si="91"/>
        <v>36.917260039774746</v>
      </c>
      <c r="G125" s="200">
        <f t="shared" si="92"/>
        <v>2.3276515600620717E-2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3">
      <c r="A126" t="str">
        <f t="shared" si="89"/>
        <v>22 Health professionals</v>
      </c>
      <c r="B126" s="11">
        <v>161.71136378428409</v>
      </c>
      <c r="C126" s="11">
        <v>36.41537195401289</v>
      </c>
      <c r="D126" s="11">
        <f t="shared" si="90"/>
        <v>-125.29599183027119</v>
      </c>
      <c r="E126" s="11">
        <v>32.23931238288182</v>
      </c>
      <c r="F126" s="11">
        <f t="shared" si="91"/>
        <v>-93.056679447389371</v>
      </c>
      <c r="G126" s="200">
        <f t="shared" si="92"/>
        <v>1.2193126654657105E-2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3">
      <c r="A127" t="str">
        <f t="shared" si="89"/>
        <v>23 Teaching and other educational professionals</v>
      </c>
      <c r="B127" s="11">
        <v>31.848054801816456</v>
      </c>
      <c r="C127" s="11">
        <v>22.048853689610347</v>
      </c>
      <c r="D127" s="11">
        <f t="shared" si="90"/>
        <v>-9.7992011122061093</v>
      </c>
      <c r="E127" s="11">
        <v>7.1892588213303705</v>
      </c>
      <c r="F127" s="11">
        <f t="shared" si="91"/>
        <v>-2.6099422908757388</v>
      </c>
      <c r="G127" s="200">
        <f>IF(B127&gt;0,(1+(E127/B127))^(1/($C$6-$B$6))-1,0)</f>
        <v>1.3661925519614648E-2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3">
      <c r="A128" t="str">
        <f t="shared" si="89"/>
        <v>24 Business, media and public service professionals</v>
      </c>
      <c r="B128" s="11">
        <v>76.609961718378628</v>
      </c>
      <c r="C128" s="11">
        <v>76.400466935021029</v>
      </c>
      <c r="D128" s="11">
        <f t="shared" si="90"/>
        <v>-0.20949478335759864</v>
      </c>
      <c r="E128" s="11">
        <v>28.81297957294197</v>
      </c>
      <c r="F128" s="11">
        <f t="shared" si="91"/>
        <v>28.603484789584371</v>
      </c>
      <c r="G128" s="200">
        <f t="shared" si="92"/>
        <v>2.1511653731172808E-2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3">
      <c r="A129" t="str">
        <f t="shared" si="89"/>
        <v>31 Science, engineering and technology associate professionals</v>
      </c>
      <c r="B129" s="11">
        <v>28.156372729838637</v>
      </c>
      <c r="C129" s="11">
        <v>36.955274902737401</v>
      </c>
      <c r="D129" s="11">
        <f t="shared" si="90"/>
        <v>8.7989021728987638</v>
      </c>
      <c r="E129" s="11">
        <v>14.884579864416796</v>
      </c>
      <c r="F129" s="11">
        <f t="shared" si="91"/>
        <v>23.68348203731556</v>
      </c>
      <c r="G129" s="200">
        <f t="shared" si="92"/>
        <v>2.8695905601683336E-2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3">
      <c r="A130" t="str">
        <f t="shared" si="89"/>
        <v>32 Health and social care associate professionals</v>
      </c>
      <c r="B130" s="11">
        <v>87.260096966449254</v>
      </c>
      <c r="C130" s="11">
        <v>38.073691349573359</v>
      </c>
      <c r="D130" s="11">
        <f t="shared" si="90"/>
        <v>-49.186405616875895</v>
      </c>
      <c r="E130" s="11">
        <v>25.49433344208045</v>
      </c>
      <c r="F130" s="11">
        <f t="shared" si="91"/>
        <v>-23.692072174795445</v>
      </c>
      <c r="G130" s="200">
        <f t="shared" si="92"/>
        <v>1.7234766746075936E-2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3">
      <c r="A131" t="str">
        <f t="shared" si="89"/>
        <v>33 Protective service occupations</v>
      </c>
      <c r="B131" s="11">
        <v>23.235788896197295</v>
      </c>
      <c r="C131" s="11">
        <v>40.286988000690037</v>
      </c>
      <c r="D131" s="11">
        <f t="shared" si="90"/>
        <v>17.051199104492742</v>
      </c>
      <c r="E131" s="11">
        <v>12.266636857370996</v>
      </c>
      <c r="F131" s="11">
        <f t="shared" si="91"/>
        <v>29.317835961863736</v>
      </c>
      <c r="G131" s="200">
        <f t="shared" si="92"/>
        <v>2.8663603387996783E-2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3">
      <c r="A132" t="str">
        <f t="shared" si="89"/>
        <v>34 Culture, media and sports occupations</v>
      </c>
      <c r="B132" s="11">
        <v>37.441421168767178</v>
      </c>
      <c r="C132" s="11">
        <v>44.00884623445679</v>
      </c>
      <c r="D132" s="11">
        <f t="shared" si="90"/>
        <v>6.567425065689612</v>
      </c>
      <c r="E132" s="11">
        <v>19.00351211753458</v>
      </c>
      <c r="F132" s="11">
        <f t="shared" ref="F132:F133" si="93">SUM(D132:E132)</f>
        <v>25.570937183224192</v>
      </c>
      <c r="G132" s="200">
        <f t="shared" si="92"/>
        <v>2.7743745776216411E-2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3">
      <c r="A133" t="str">
        <f t="shared" si="89"/>
        <v>35 Business and public service associate professionals</v>
      </c>
      <c r="B133" s="11">
        <v>149.65396804331832</v>
      </c>
      <c r="C133" s="11">
        <v>156.10963392118208</v>
      </c>
      <c r="D133" s="11">
        <f t="shared" si="90"/>
        <v>6.4556658778637654</v>
      </c>
      <c r="E133" s="11">
        <v>73.065990163344409</v>
      </c>
      <c r="F133" s="11">
        <f t="shared" si="93"/>
        <v>79.521656041208175</v>
      </c>
      <c r="G133" s="200">
        <f t="shared" si="92"/>
        <v>2.6860370073469308E-2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3">
      <c r="A134" t="str">
        <f t="shared" si="89"/>
        <v>41 Administrative occupations</v>
      </c>
      <c r="B134" s="11">
        <v>191.48761428366313</v>
      </c>
      <c r="C134" s="11">
        <v>214.05293508637797</v>
      </c>
      <c r="D134" s="11">
        <f t="shared" si="90"/>
        <v>22.565320802714837</v>
      </c>
      <c r="E134" s="11">
        <v>117.97851040161554</v>
      </c>
      <c r="F134" s="11">
        <f t="shared" ref="F134:F137" si="94">SUM(D134:E134)</f>
        <v>140.54383120433039</v>
      </c>
      <c r="G134" s="200">
        <f t="shared" si="92"/>
        <v>3.2519260946470618E-2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3">
      <c r="A135" t="str">
        <f t="shared" si="89"/>
        <v>42 Secretarial and related occupations</v>
      </c>
      <c r="B135" s="11">
        <v>44.004335063178424</v>
      </c>
      <c r="C135" s="11">
        <v>64.450532053184617</v>
      </c>
      <c r="D135" s="11">
        <f t="shared" si="90"/>
        <v>20.446196990006193</v>
      </c>
      <c r="E135" s="11">
        <v>35.538645498714843</v>
      </c>
      <c r="F135" s="11">
        <f t="shared" si="94"/>
        <v>55.984842488721036</v>
      </c>
      <c r="G135" s="200">
        <f t="shared" si="92"/>
        <v>4.0256472117623954E-2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89"/>
        <v>51 Skilled agricultural and related trades</v>
      </c>
      <c r="B136" s="11">
        <v>17.433835712033105</v>
      </c>
      <c r="C136" s="11">
        <v>27.194121850678584</v>
      </c>
      <c r="D136" s="11">
        <f t="shared" si="90"/>
        <v>9.7602861386454798</v>
      </c>
      <c r="E136" s="11">
        <v>16.360112209442292</v>
      </c>
      <c r="F136" s="11">
        <f t="shared" si="94"/>
        <v>26.120398348087772</v>
      </c>
      <c r="G136" s="200">
        <f t="shared" si="92"/>
        <v>4.5112556079806909E-2</v>
      </c>
      <c r="I136" s="11"/>
      <c r="J136" s="11"/>
      <c r="K136" s="11"/>
      <c r="L136" s="11"/>
      <c r="M136" s="11"/>
      <c r="N136" s="11"/>
      <c r="O136" s="70"/>
    </row>
    <row r="137" spans="1:21" x14ac:dyDescent="0.3">
      <c r="A137" t="str">
        <f t="shared" si="89"/>
        <v>52 Skilled metal, electrical and electronic trades</v>
      </c>
      <c r="B137" s="11">
        <v>19.933672973264702</v>
      </c>
      <c r="C137" s="11">
        <v>28.328256935556713</v>
      </c>
      <c r="D137" s="11">
        <f t="shared" si="90"/>
        <v>8.3945839622920104</v>
      </c>
      <c r="E137" s="11">
        <v>11.084130844305168</v>
      </c>
      <c r="F137" s="11">
        <f t="shared" si="94"/>
        <v>19.478714806597178</v>
      </c>
      <c r="G137" s="200">
        <f t="shared" si="92"/>
        <v>2.9915468743439311E-2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89"/>
        <v>53 Skilled construction and building trades</v>
      </c>
      <c r="B138" s="11">
        <v>19.948288549255484</v>
      </c>
      <c r="C138" s="11">
        <v>30.421064248562999</v>
      </c>
      <c r="D138" s="11">
        <f t="shared" si="90"/>
        <v>10.472775699307515</v>
      </c>
      <c r="E138" s="11">
        <v>14.945713485196661</v>
      </c>
      <c r="F138" s="11">
        <f t="shared" ref="F138" si="95">SUM(D138:E138)</f>
        <v>25.418489184504175</v>
      </c>
      <c r="G138" s="200">
        <f t="shared" si="92"/>
        <v>3.7981650339707018E-2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3">
      <c r="A139" t="str">
        <f t="shared" si="89"/>
        <v>54 Textiles, printing and other skilled trades</v>
      </c>
      <c r="B139" s="11">
        <v>20.245969319873907</v>
      </c>
      <c r="C139" s="11">
        <v>26.961376199323322</v>
      </c>
      <c r="D139" s="11">
        <f t="shared" si="90"/>
        <v>6.7154068794494144</v>
      </c>
      <c r="E139" s="11">
        <v>13.315425974460968</v>
      </c>
      <c r="F139" s="11">
        <f t="shared" ref="F139" si="96">SUM(D139:E139)</f>
        <v>20.030832853910383</v>
      </c>
      <c r="G139" s="200">
        <f t="shared" si="92"/>
        <v>3.4268812051138076E-2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3">
      <c r="A140" t="str">
        <f t="shared" si="89"/>
        <v>61 Caring personal service occupations</v>
      </c>
      <c r="B140" s="11">
        <v>212.7644657403437</v>
      </c>
      <c r="C140" s="11">
        <v>236.02939344826689</v>
      </c>
      <c r="D140" s="11">
        <f>C140-B140</f>
        <v>23.264927707923192</v>
      </c>
      <c r="E140" s="11">
        <v>134.54496206933055</v>
      </c>
      <c r="F140" s="11">
        <f>SUM(D140:E140)</f>
        <v>157.80988977725374</v>
      </c>
      <c r="G140" s="200">
        <f t="shared" si="92"/>
        <v>3.3208170066699072E-2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3">
      <c r="A141" t="str">
        <f t="shared" si="89"/>
        <v>62 Leisure, travel and related personal service occupations</v>
      </c>
      <c r="B141" s="11">
        <v>44.414140211633907</v>
      </c>
      <c r="C141" s="11">
        <v>68.14802211979746</v>
      </c>
      <c r="D141" s="11">
        <f t="shared" ref="D141:D147" si="97">C141-B141</f>
        <v>23.733881908163553</v>
      </c>
      <c r="E141" s="11">
        <v>35.153670278519009</v>
      </c>
      <c r="F141" s="11">
        <f t="shared" ref="F141:F142" si="98">SUM(D141:E141)</f>
        <v>58.887552186682562</v>
      </c>
      <c r="G141" s="200">
        <f t="shared" si="92"/>
        <v>3.9635442057239567E-2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3">
      <c r="A142" t="str">
        <f t="shared" si="89"/>
        <v>63 Community and civil enforcement occupations</v>
      </c>
      <c r="B142" s="11">
        <v>1.7505955230308261</v>
      </c>
      <c r="C142" s="11">
        <v>1.8913617405466989</v>
      </c>
      <c r="D142" s="11">
        <f t="shared" si="97"/>
        <v>0.14076621751587282</v>
      </c>
      <c r="E142" s="11">
        <v>1.0041214927854001</v>
      </c>
      <c r="F142" s="11">
        <f t="shared" si="98"/>
        <v>1.1448877103012729</v>
      </c>
      <c r="G142" s="200">
        <f t="shared" si="92"/>
        <v>3.0685291735336628E-2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3">
      <c r="A143" t="str">
        <f t="shared" si="89"/>
        <v>71 Sales occupations</v>
      </c>
      <c r="B143" s="11">
        <v>84.109301338094326</v>
      </c>
      <c r="C143" s="11">
        <v>104.94711361189231</v>
      </c>
      <c r="D143" s="11">
        <f t="shared" si="97"/>
        <v>20.837812273797979</v>
      </c>
      <c r="E143" s="11">
        <v>51.196325626869118</v>
      </c>
      <c r="F143" s="11">
        <f t="shared" ref="F143:F144" si="99">SUM(D143:E143)</f>
        <v>72.034137900667105</v>
      </c>
      <c r="G143" s="200">
        <f t="shared" si="92"/>
        <v>3.2202220107224955E-2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3">
      <c r="A144" t="str">
        <f t="shared" si="89"/>
        <v>72 Customer service occupations</v>
      </c>
      <c r="B144" s="11">
        <v>28.769532269541855</v>
      </c>
      <c r="C144" s="11">
        <v>52.625269963496386</v>
      </c>
      <c r="D144" s="11">
        <f t="shared" si="97"/>
        <v>23.855737693954531</v>
      </c>
      <c r="E144" s="11">
        <v>23.545530592903258</v>
      </c>
      <c r="F144" s="11">
        <f t="shared" si="99"/>
        <v>47.401268286857785</v>
      </c>
      <c r="G144" s="200">
        <f t="shared" si="92"/>
        <v>4.0669748238836956E-2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3">
      <c r="A145" t="str">
        <f t="shared" si="89"/>
        <v>81 Process, plant and machine operatives</v>
      </c>
      <c r="B145" s="11">
        <v>11.067972891208601</v>
      </c>
      <c r="C145" s="11">
        <v>25.614843096579371</v>
      </c>
      <c r="D145" s="11">
        <f t="shared" si="97"/>
        <v>14.546870205370769</v>
      </c>
      <c r="E145" s="11">
        <v>9.3010751477535969</v>
      </c>
      <c r="F145" s="11">
        <f t="shared" ref="F145:F146" si="100">SUM(D145:E145)</f>
        <v>23.847945353124366</v>
      </c>
      <c r="G145" s="200">
        <f t="shared" si="92"/>
        <v>4.150216335422674E-2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3">
      <c r="A146" t="str">
        <f t="shared" si="89"/>
        <v>82 Transport and mobile machine drivers and operatives</v>
      </c>
      <c r="B146" s="11">
        <v>28.255317739483925</v>
      </c>
      <c r="C146" s="11">
        <v>45.519670224336522</v>
      </c>
      <c r="D146" s="11">
        <f t="shared" si="97"/>
        <v>17.264352484852598</v>
      </c>
      <c r="E146" s="11">
        <v>25.437407984416868</v>
      </c>
      <c r="F146" s="11">
        <f t="shared" si="100"/>
        <v>42.701760469269466</v>
      </c>
      <c r="G146" s="200">
        <f t="shared" si="92"/>
        <v>4.372883955903184E-2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3">
      <c r="A147" t="str">
        <f t="shared" si="89"/>
        <v>91 Elementary trades and related occupations</v>
      </c>
      <c r="B147" s="11">
        <v>11.42274635611418</v>
      </c>
      <c r="C147" s="11">
        <v>14.711895813538701</v>
      </c>
      <c r="D147" s="11">
        <f t="shared" si="97"/>
        <v>3.2891494574245215</v>
      </c>
      <c r="E147" s="11">
        <v>7.3053985597763482</v>
      </c>
      <c r="F147" s="11">
        <f t="shared" ref="F147" si="101">SUM(D147:E147)</f>
        <v>10.59454801720087</v>
      </c>
      <c r="G147" s="200">
        <f t="shared" si="92"/>
        <v>3.3510631610587094E-2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3">
      <c r="A148" t="str">
        <f t="shared" si="89"/>
        <v>92 Elementary administration and service occupations</v>
      </c>
      <c r="B148" s="11">
        <v>112.34434150796795</v>
      </c>
      <c r="C148" s="11">
        <v>177.95600495650157</v>
      </c>
      <c r="D148" s="11">
        <f t="shared" ref="D148" si="102">C148-B148</f>
        <v>65.611663448533619</v>
      </c>
      <c r="E148" s="11">
        <v>90.365251004681099</v>
      </c>
      <c r="F148" s="11">
        <f t="shared" ref="F148" si="103">SUM(D148:E148)</f>
        <v>155.9769144532147</v>
      </c>
      <c r="G148" s="200">
        <f t="shared" ref="G148" si="104">IF(B148&gt;0,(1+(E148/B148))^(1/($C$6-$B$6))-1,0)</f>
        <v>4.0131398171924237E-2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3">
      <c r="A149" t="str">
        <f t="shared" si="89"/>
        <v>All occupations</v>
      </c>
      <c r="B149" s="11">
        <f>SUM(B123:B148)</f>
        <v>1705.9419206369141</v>
      </c>
      <c r="C149" s="11">
        <f t="shared" ref="C149:F149" si="105">SUM(C123:C148)</f>
        <v>1868.8532961954368</v>
      </c>
      <c r="D149" s="11">
        <f t="shared" si="105"/>
        <v>162.91137555852353</v>
      </c>
      <c r="E149" s="11">
        <f t="shared" si="105"/>
        <v>946.85189621330414</v>
      </c>
      <c r="F149" s="11">
        <f t="shared" si="105"/>
        <v>1109.7632717718277</v>
      </c>
      <c r="G149" s="200">
        <f t="shared" si="92"/>
        <v>2.9870497124173667E-2</v>
      </c>
      <c r="P149" s="11"/>
      <c r="Q149" s="11"/>
      <c r="R149" s="11"/>
      <c r="S149" s="11"/>
      <c r="T149" s="11"/>
      <c r="U149" s="1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24.9" x14ac:dyDescent="0.3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3">
      <c r="A152" t="str">
        <f t="shared" ref="A152:A178" si="107">A65</f>
        <v>11 Corporate managers and directors</v>
      </c>
      <c r="B152" s="11">
        <v>185.37923214333375</v>
      </c>
      <c r="C152" s="11">
        <v>179.74467180191087</v>
      </c>
      <c r="D152" s="11">
        <f>C152-B152</f>
        <v>-5.6345603414228833</v>
      </c>
      <c r="E152" s="11">
        <v>92.746863032902354</v>
      </c>
      <c r="F152" s="11">
        <f>SUM(D152:E152)</f>
        <v>87.112302691479471</v>
      </c>
      <c r="G152" s="200">
        <f>IF(B152&gt;0,(1+(E152/B152))^(1/($C$6-$B$6))-1,0)</f>
        <v>2.7413758655461029E-2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3">
      <c r="A153" t="str">
        <f t="shared" si="107"/>
        <v>12 Other managers and proprietors</v>
      </c>
      <c r="B153" s="11">
        <v>75.626966821140471</v>
      </c>
      <c r="C153" s="11">
        <v>110.13897546090458</v>
      </c>
      <c r="D153" s="11">
        <f t="shared" ref="D153:D168" si="108">C153-B153</f>
        <v>34.512008639764105</v>
      </c>
      <c r="E153" s="11">
        <v>59.566460993395275</v>
      </c>
      <c r="F153" s="11">
        <f t="shared" ref="F153:F160" si="109">SUM(D153:E153)</f>
        <v>94.078469633159386</v>
      </c>
      <c r="G153" s="200">
        <f t="shared" ref="G153:G155" si="110">IF(B153&gt;0,(1+(E153/B153))^(1/($C$6-$B$6))-1,0)</f>
        <v>3.9485876983525126E-2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3">
      <c r="A154" t="str">
        <f t="shared" si="107"/>
        <v>21 Science, research, engineering and technology professionals</v>
      </c>
      <c r="B154" s="11">
        <v>162.22978584307265</v>
      </c>
      <c r="C154" s="11">
        <v>151.17964589945495</v>
      </c>
      <c r="D154" s="11">
        <f t="shared" si="108"/>
        <v>-11.050139943617694</v>
      </c>
      <c r="E154" s="11">
        <v>56.597084711737018</v>
      </c>
      <c r="F154" s="11">
        <f t="shared" si="109"/>
        <v>45.546944768119324</v>
      </c>
      <c r="G154" s="200">
        <f t="shared" si="110"/>
        <v>2.0151494915662038E-2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3">
      <c r="A155" t="str">
        <f t="shared" si="107"/>
        <v>22 Health professionals</v>
      </c>
      <c r="B155" s="11">
        <v>37.674851032582815</v>
      </c>
      <c r="C155" s="11">
        <v>43.333610402409889</v>
      </c>
      <c r="D155" s="11">
        <f t="shared" si="108"/>
        <v>5.6587593698270737</v>
      </c>
      <c r="E155" s="11">
        <v>20.838886057175046</v>
      </c>
      <c r="F155" s="11">
        <f t="shared" si="109"/>
        <v>26.497645427002119</v>
      </c>
      <c r="G155" s="200">
        <f t="shared" si="110"/>
        <v>2.9786243939560642E-2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3">
      <c r="A156" t="str">
        <f t="shared" si="107"/>
        <v>23 Teaching and other educational professionals</v>
      </c>
      <c r="B156" s="11">
        <v>17.327255102901187</v>
      </c>
      <c r="C156" s="11">
        <v>13.931305549497363</v>
      </c>
      <c r="D156" s="11">
        <f t="shared" si="108"/>
        <v>-3.395949553403824</v>
      </c>
      <c r="E156" s="11">
        <v>7.5902492136602948</v>
      </c>
      <c r="F156" s="11">
        <f t="shared" si="109"/>
        <v>4.1942996602564708</v>
      </c>
      <c r="G156" s="200">
        <f>IF(B156&gt;0,(1+(E156/B156))^(1/($C$6-$B$6))-1,0)</f>
        <v>2.4514992599427243E-2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3">
      <c r="A157" t="str">
        <f t="shared" si="107"/>
        <v>24 Business, media and public service professionals</v>
      </c>
      <c r="B157" s="11">
        <v>132.1897102303563</v>
      </c>
      <c r="C157" s="11">
        <v>150.40808432521359</v>
      </c>
      <c r="D157" s="11">
        <f t="shared" si="108"/>
        <v>18.218374094857296</v>
      </c>
      <c r="E157" s="11">
        <v>70.498382731299728</v>
      </c>
      <c r="F157" s="11">
        <f t="shared" si="109"/>
        <v>88.716756826157024</v>
      </c>
      <c r="G157" s="200">
        <f t="shared" ref="G157:G178" si="111">IF(B157&gt;0,(1+(E157/B157))^(1/($C$6-$B$6))-1,0)</f>
        <v>2.8905224359071058E-2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3">
      <c r="A158" t="str">
        <f t="shared" si="107"/>
        <v>31 Science, engineering and technology associate professionals</v>
      </c>
      <c r="B158" s="11">
        <v>62.173110288973533</v>
      </c>
      <c r="C158" s="11">
        <v>50.648536688177089</v>
      </c>
      <c r="D158" s="11">
        <f t="shared" si="108"/>
        <v>-11.524573600796444</v>
      </c>
      <c r="E158" s="11">
        <v>20.25138044537389</v>
      </c>
      <c r="F158" s="11">
        <f t="shared" si="109"/>
        <v>8.726806844577446</v>
      </c>
      <c r="G158" s="200">
        <f t="shared" si="111"/>
        <v>1.8975116391129587E-2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3">
      <c r="A159" t="str">
        <f t="shared" si="107"/>
        <v>32 Health and social care associate professionals</v>
      </c>
      <c r="B159" s="11">
        <v>27.954405322607638</v>
      </c>
      <c r="C159" s="11">
        <v>29.310149428066154</v>
      </c>
      <c r="D159" s="11">
        <f t="shared" si="108"/>
        <v>1.3557441054585162</v>
      </c>
      <c r="E159" s="11">
        <v>16.047551806403622</v>
      </c>
      <c r="F159" s="11">
        <f t="shared" si="109"/>
        <v>17.403295911862138</v>
      </c>
      <c r="G159" s="200">
        <f t="shared" si="111"/>
        <v>3.0705948230762559E-2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3">
      <c r="A160" t="str">
        <f t="shared" si="107"/>
        <v>33 Protective service occupations</v>
      </c>
      <c r="B160" s="11">
        <v>17.695784319038665</v>
      </c>
      <c r="C160" s="11">
        <v>21.66001357706574</v>
      </c>
      <c r="D160" s="11">
        <f t="shared" si="108"/>
        <v>3.9642292580270748</v>
      </c>
      <c r="E160" s="11">
        <v>7.3441535861045626</v>
      </c>
      <c r="F160" s="11">
        <f t="shared" si="109"/>
        <v>11.308382844131637</v>
      </c>
      <c r="G160" s="200">
        <f t="shared" si="111"/>
        <v>2.3412920057844122E-2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3">
      <c r="A161" t="str">
        <f t="shared" si="107"/>
        <v>34 Culture, media and sports occupations</v>
      </c>
      <c r="B161" s="11">
        <v>38.898844093847899</v>
      </c>
      <c r="C161" s="11">
        <v>33.678443376566022</v>
      </c>
      <c r="D161" s="11">
        <f t="shared" si="108"/>
        <v>-5.2204007172818763</v>
      </c>
      <c r="E161" s="11">
        <v>16.24003902556672</v>
      </c>
      <c r="F161" s="11">
        <f t="shared" ref="F161:F162" si="112">SUM(D161:E161)</f>
        <v>11.019638308284843</v>
      </c>
      <c r="G161" s="200">
        <f t="shared" si="111"/>
        <v>2.3531983023530545E-2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3">
      <c r="A162" t="str">
        <f t="shared" si="107"/>
        <v>35 Business and public service associate professionals</v>
      </c>
      <c r="B162" s="11">
        <v>131.66971295095703</v>
      </c>
      <c r="C162" s="11">
        <v>131.98037365163606</v>
      </c>
      <c r="D162" s="11">
        <f t="shared" si="108"/>
        <v>0.31066070067902274</v>
      </c>
      <c r="E162" s="11">
        <v>61.547216728577432</v>
      </c>
      <c r="F162" s="11">
        <f t="shared" si="112"/>
        <v>61.857877429256455</v>
      </c>
      <c r="G162" s="200">
        <f t="shared" si="111"/>
        <v>2.5897455203867104E-2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3">
      <c r="A163" t="str">
        <f t="shared" si="107"/>
        <v>41 Administrative occupations</v>
      </c>
      <c r="B163" s="11">
        <v>183.1650221778745</v>
      </c>
      <c r="C163" s="11">
        <v>199.67805243180297</v>
      </c>
      <c r="D163" s="11">
        <f t="shared" si="108"/>
        <v>16.513030253928463</v>
      </c>
      <c r="E163" s="11">
        <v>103.69220187460228</v>
      </c>
      <c r="F163" s="11">
        <f t="shared" ref="F163:F166" si="113">SUM(D163:E163)</f>
        <v>120.20523212853074</v>
      </c>
      <c r="G163" s="200">
        <f t="shared" si="111"/>
        <v>3.0358164016427658E-2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3">
      <c r="A164" t="str">
        <f t="shared" si="107"/>
        <v>42 Secretarial and related occupations</v>
      </c>
      <c r="B164" s="11">
        <v>33.30017828700209</v>
      </c>
      <c r="C164" s="11">
        <v>40.969943974679758</v>
      </c>
      <c r="D164" s="11">
        <f t="shared" si="108"/>
        <v>7.6697656876776676</v>
      </c>
      <c r="E164" s="11">
        <v>22.912955271928436</v>
      </c>
      <c r="F164" s="11">
        <f t="shared" si="113"/>
        <v>30.582720959606103</v>
      </c>
      <c r="G164" s="200">
        <f t="shared" si="111"/>
        <v>3.5522204400943336E-2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3">
      <c r="A165" t="str">
        <f t="shared" si="107"/>
        <v>51 Skilled agricultural and related trades</v>
      </c>
      <c r="B165" s="11">
        <v>25.028400986631627</v>
      </c>
      <c r="C165" s="11">
        <v>38.361220873492307</v>
      </c>
      <c r="D165" s="11">
        <f t="shared" si="108"/>
        <v>13.33281988686068</v>
      </c>
      <c r="E165" s="11">
        <v>20.373738468354958</v>
      </c>
      <c r="F165" s="11">
        <f t="shared" si="113"/>
        <v>33.706558355215634</v>
      </c>
      <c r="G165" s="200">
        <f t="shared" si="111"/>
        <v>4.0501908014735299E-2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3">
      <c r="A166" t="str">
        <f t="shared" si="107"/>
        <v>52 Skilled metal, electrical and electronic trades</v>
      </c>
      <c r="B166" s="11">
        <v>77.745815595579728</v>
      </c>
      <c r="C166" s="11">
        <v>103.04264096273295</v>
      </c>
      <c r="D166" s="11">
        <f t="shared" si="108"/>
        <v>25.296825367153218</v>
      </c>
      <c r="E166" s="11">
        <v>41.02980995682524</v>
      </c>
      <c r="F166" s="11">
        <f t="shared" si="113"/>
        <v>66.326635323978451</v>
      </c>
      <c r="G166" s="200">
        <f t="shared" si="111"/>
        <v>2.8655660250238579E-2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3">
      <c r="A167" t="str">
        <f t="shared" si="107"/>
        <v>53 Skilled construction and building trades</v>
      </c>
      <c r="B167" s="11">
        <v>28.832423041409918</v>
      </c>
      <c r="C167" s="11">
        <v>43.680551652522801</v>
      </c>
      <c r="D167" s="11">
        <f t="shared" si="108"/>
        <v>14.848128611112884</v>
      </c>
      <c r="E167" s="11">
        <v>21.729328112417466</v>
      </c>
      <c r="F167" s="11">
        <f t="shared" ref="F167" si="114">SUM(D167:E167)</f>
        <v>36.577456723530346</v>
      </c>
      <c r="G167" s="200">
        <f t="shared" si="111"/>
        <v>3.8156269464963311E-2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3">
      <c r="A168" t="str">
        <f t="shared" si="107"/>
        <v>54 Textiles, printing and other skilled trades</v>
      </c>
      <c r="B168" s="11">
        <v>23.242290181881796</v>
      </c>
      <c r="C168" s="11">
        <v>32.544947961860494</v>
      </c>
      <c r="D168" s="11">
        <f t="shared" si="108"/>
        <v>9.3026577799786985</v>
      </c>
      <c r="E168" s="11">
        <v>15.552727930202476</v>
      </c>
      <c r="F168" s="11">
        <f t="shared" ref="F168" si="115">SUM(D168:E168)</f>
        <v>24.855385710181174</v>
      </c>
      <c r="G168" s="200">
        <f t="shared" si="111"/>
        <v>3.4744522224031016E-2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3">
      <c r="A169" t="str">
        <f t="shared" si="107"/>
        <v>61 Caring personal service occupations</v>
      </c>
      <c r="B169" s="11">
        <v>123.76261113808276</v>
      </c>
      <c r="C169" s="11">
        <v>148.68493539792553</v>
      </c>
      <c r="D169" s="11">
        <f>C169-B169</f>
        <v>24.922324259842767</v>
      </c>
      <c r="E169" s="11">
        <v>83.17042823327661</v>
      </c>
      <c r="F169" s="11">
        <f>SUM(D169:E169)</f>
        <v>108.09275249311938</v>
      </c>
      <c r="G169" s="200">
        <f t="shared" si="111"/>
        <v>3.4862599376954684E-2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3">
      <c r="A170" t="str">
        <f t="shared" si="107"/>
        <v>62 Leisure, travel and related personal service occupations</v>
      </c>
      <c r="B170" s="11">
        <v>56.645215019236922</v>
      </c>
      <c r="C170" s="11">
        <v>94.202222363349733</v>
      </c>
      <c r="D170" s="11">
        <f t="shared" ref="D170:D176" si="116">C170-B170</f>
        <v>37.557007344112812</v>
      </c>
      <c r="E170" s="11">
        <v>47.153169882773689</v>
      </c>
      <c r="F170" s="11">
        <f t="shared" ref="F170:F171" si="117">SUM(D170:E170)</f>
        <v>84.710177226886501</v>
      </c>
      <c r="G170" s="200">
        <f t="shared" si="111"/>
        <v>4.1202393416063465E-2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3">
      <c r="A171" t="str">
        <f t="shared" si="107"/>
        <v>63 Community and civil enforcement occupations</v>
      </c>
      <c r="B171" s="11">
        <v>1.5135878152334137</v>
      </c>
      <c r="C171" s="11">
        <v>1.3093761044121714</v>
      </c>
      <c r="D171" s="11">
        <f t="shared" si="116"/>
        <v>-0.20421171082124223</v>
      </c>
      <c r="E171" s="11">
        <v>0.77119983106577816</v>
      </c>
      <c r="F171" s="11">
        <f t="shared" si="117"/>
        <v>0.56698812024453593</v>
      </c>
      <c r="G171" s="200">
        <f t="shared" si="111"/>
        <v>2.7832978075027492E-2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3">
      <c r="A172" t="str">
        <f t="shared" si="107"/>
        <v>71 Sales occupations</v>
      </c>
      <c r="B172" s="11">
        <v>67.910989796222367</v>
      </c>
      <c r="C172" s="11">
        <v>78.709800721267939</v>
      </c>
      <c r="D172" s="11">
        <f t="shared" si="116"/>
        <v>10.798810925045572</v>
      </c>
      <c r="E172" s="11">
        <v>33.931908007069794</v>
      </c>
      <c r="F172" s="11">
        <f t="shared" ref="F172:F173" si="118">SUM(D172:E172)</f>
        <v>44.730718932115366</v>
      </c>
      <c r="G172" s="200">
        <f t="shared" si="111"/>
        <v>2.7383797921032071E-2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3">
      <c r="A173" t="str">
        <f t="shared" si="107"/>
        <v>72 Customer service occupations</v>
      </c>
      <c r="B173" s="11">
        <v>35.826167067339711</v>
      </c>
      <c r="C173" s="11">
        <v>56.892688182719255</v>
      </c>
      <c r="D173" s="11">
        <f t="shared" si="116"/>
        <v>21.066521115379544</v>
      </c>
      <c r="E173" s="11">
        <v>23.833214850801745</v>
      </c>
      <c r="F173" s="11">
        <f t="shared" si="118"/>
        <v>44.899735966181289</v>
      </c>
      <c r="G173" s="200">
        <f t="shared" si="111"/>
        <v>3.4582735433924761E-2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3">
      <c r="A174" t="str">
        <f t="shared" si="107"/>
        <v>81 Process, plant and machine operatives</v>
      </c>
      <c r="B174" s="11">
        <v>23.782816749732536</v>
      </c>
      <c r="C174" s="11">
        <v>48.203722241832544</v>
      </c>
      <c r="D174" s="11">
        <f t="shared" si="116"/>
        <v>24.420905492100008</v>
      </c>
      <c r="E174" s="11">
        <v>18.553655833608232</v>
      </c>
      <c r="F174" s="11">
        <f t="shared" ref="F174:F175" si="119">SUM(D174:E174)</f>
        <v>42.974561325708237</v>
      </c>
      <c r="G174" s="200">
        <f t="shared" si="111"/>
        <v>3.9194306607651441E-2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3">
      <c r="A175" t="str">
        <f t="shared" si="107"/>
        <v>82 Transport and mobile machine drivers and operatives</v>
      </c>
      <c r="B175" s="11">
        <v>44.818084195127589</v>
      </c>
      <c r="C175" s="11">
        <v>68.317918645926383</v>
      </c>
      <c r="D175" s="11">
        <f t="shared" si="116"/>
        <v>23.499834450798794</v>
      </c>
      <c r="E175" s="11">
        <v>39.659173571870475</v>
      </c>
      <c r="F175" s="11">
        <f t="shared" si="119"/>
        <v>63.159008022669269</v>
      </c>
      <c r="G175" s="200">
        <f t="shared" si="111"/>
        <v>4.3163624486176833E-2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3">
      <c r="A176" t="str">
        <f t="shared" si="107"/>
        <v>91 Elementary trades and related occupations</v>
      </c>
      <c r="B176" s="11">
        <v>14.056815712274055</v>
      </c>
      <c r="C176" s="11">
        <v>15.803629119186537</v>
      </c>
      <c r="D176" s="11">
        <f t="shared" si="116"/>
        <v>1.7468134069124819</v>
      </c>
      <c r="E176" s="11">
        <v>7.4704134235538397</v>
      </c>
      <c r="F176" s="11">
        <f t="shared" ref="F176" si="120">SUM(D176:E176)</f>
        <v>9.2172268304663216</v>
      </c>
      <c r="G176" s="200">
        <f t="shared" si="111"/>
        <v>2.8821612264233298E-2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3">
      <c r="A177" t="str">
        <f t="shared" si="107"/>
        <v>92 Elementary administration and service occupations</v>
      </c>
      <c r="B177" s="11">
        <v>99.968612222286097</v>
      </c>
      <c r="C177" s="11">
        <v>153.96560763406308</v>
      </c>
      <c r="D177" s="11">
        <f t="shared" ref="D177" si="121">C177-B177</f>
        <v>53.996995411776979</v>
      </c>
      <c r="E177" s="11">
        <v>77.762622843516965</v>
      </c>
      <c r="F177" s="11">
        <f t="shared" ref="F177" si="122">SUM(D177:E177)</f>
        <v>131.75961825529396</v>
      </c>
      <c r="G177" s="200">
        <f t="shared" ref="G177" si="123">IF(B177&gt;0,(1+(E177/B177))^(1/($C$6-$B$6))-1,0)</f>
        <v>3.9106368093466903E-2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3">
      <c r="A178" t="str">
        <f t="shared" si="107"/>
        <v>All occupations</v>
      </c>
      <c r="B178" s="11">
        <f>SUM(B152:B177)</f>
        <v>1728.4186881347268</v>
      </c>
      <c r="C178" s="11">
        <f t="shared" ref="C178:F178" si="124">SUM(C152:C177)</f>
        <v>2040.3810684286768</v>
      </c>
      <c r="D178" s="11">
        <f t="shared" si="124"/>
        <v>311.96238029394971</v>
      </c>
      <c r="E178" s="11">
        <f t="shared" si="124"/>
        <v>986.86481642406386</v>
      </c>
      <c r="F178" s="11">
        <f t="shared" si="124"/>
        <v>1298.8271967180135</v>
      </c>
      <c r="G178" s="200">
        <f t="shared" si="111"/>
        <v>3.0570599353747063E-2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24.9" x14ac:dyDescent="0.3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3">
      <c r="A181" t="str">
        <f t="shared" ref="A181:A207" si="126">A94</f>
        <v>11 Corporate managers and directors</v>
      </c>
      <c r="B181" s="11">
        <v>397.6061392904486</v>
      </c>
      <c r="C181" s="11">
        <v>346.63098870678908</v>
      </c>
      <c r="D181" s="11">
        <f>C181-B181</f>
        <v>-50.975150583659513</v>
      </c>
      <c r="E181" s="11">
        <v>151.53466173205058</v>
      </c>
      <c r="F181" s="11">
        <f>SUM(D181:E181)</f>
        <v>100.55951114839107</v>
      </c>
      <c r="G181" s="200">
        <f>IF(B181&gt;0,(1+(E181/B181))^(1/($C$6-$B$6))-1,0)</f>
        <v>2.1759557448134847E-2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3">
      <c r="A182" t="str">
        <f t="shared" si="126"/>
        <v>12 Other managers and proprietors</v>
      </c>
      <c r="B182" s="11">
        <v>169.6661240836971</v>
      </c>
      <c r="C182" s="11">
        <v>198.647720407625</v>
      </c>
      <c r="D182" s="11">
        <f t="shared" ref="D182:D197" si="127">C182-B182</f>
        <v>28.981596323927903</v>
      </c>
      <c r="E182" s="11">
        <v>89.551186171413818</v>
      </c>
      <c r="F182" s="11">
        <f t="shared" ref="F182:F189" si="128">SUM(D182:E182)</f>
        <v>118.53278249534172</v>
      </c>
      <c r="G182" s="200">
        <f t="shared" ref="G182:G184" si="129">IF(B182&gt;0,(1+(E182/B182))^(1/($C$6-$B$6))-1,0)</f>
        <v>2.865859074641075E-2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6"/>
        <v>21 Science, research, engineering and technology professionals</v>
      </c>
      <c r="B183" s="11">
        <v>227.04543583694488</v>
      </c>
      <c r="C183" s="11">
        <v>191.77517294149266</v>
      </c>
      <c r="D183" s="11">
        <f t="shared" si="127"/>
        <v>-35.27026289545222</v>
      </c>
      <c r="E183" s="11">
        <v>58.979782605575927</v>
      </c>
      <c r="F183" s="11">
        <f t="shared" si="128"/>
        <v>23.709519710123708</v>
      </c>
      <c r="G183" s="200">
        <f t="shared" si="129"/>
        <v>1.5514440337053292E-2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6"/>
        <v>22 Health professionals</v>
      </c>
      <c r="B184" s="11">
        <v>135.91196801701363</v>
      </c>
      <c r="C184" s="11">
        <v>157.95784464249016</v>
      </c>
      <c r="D184" s="11">
        <f t="shared" si="127"/>
        <v>22.045876625476524</v>
      </c>
      <c r="E184" s="11">
        <v>82.780522557051157</v>
      </c>
      <c r="F184" s="11">
        <f t="shared" si="128"/>
        <v>104.82639918252768</v>
      </c>
      <c r="G184" s="200">
        <f t="shared" si="129"/>
        <v>3.2218752305657627E-2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6"/>
        <v>23 Teaching and other educational professionals</v>
      </c>
      <c r="B185" s="11">
        <v>63.69046408702404</v>
      </c>
      <c r="C185" s="11">
        <v>69.97045604203754</v>
      </c>
      <c r="D185" s="11">
        <f t="shared" si="127"/>
        <v>6.2799919550135002</v>
      </c>
      <c r="E185" s="11">
        <v>27.691450425851563</v>
      </c>
      <c r="F185" s="11">
        <f t="shared" si="128"/>
        <v>33.971442380865064</v>
      </c>
      <c r="G185" s="200">
        <f>IF(B185&gt;0,(1+(E185/B185))^(1/($C$6-$B$6))-1,0)</f>
        <v>2.4359475938499964E-2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6"/>
        <v>24 Business, media and public service professionals</v>
      </c>
      <c r="B186" s="11">
        <v>266.96201664256239</v>
      </c>
      <c r="C186" s="11">
        <v>280.58602392341629</v>
      </c>
      <c r="D186" s="11">
        <f t="shared" si="127"/>
        <v>13.624007280853903</v>
      </c>
      <c r="E186" s="11">
        <v>112.94124526590591</v>
      </c>
      <c r="F186" s="11">
        <f t="shared" si="128"/>
        <v>126.56525254675981</v>
      </c>
      <c r="G186" s="200">
        <f t="shared" ref="G186:G207" si="130">IF(B186&gt;0,(1+(E186/B186))^(1/($C$6-$B$6))-1,0)</f>
        <v>2.3799476650707696E-2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6"/>
        <v>31 Science, engineering and technology associate professionals</v>
      </c>
      <c r="B187" s="11">
        <v>100.12120484020514</v>
      </c>
      <c r="C187" s="11">
        <v>60.023251253686844</v>
      </c>
      <c r="D187" s="11">
        <f t="shared" si="127"/>
        <v>-40.097953586518294</v>
      </c>
      <c r="E187" s="11">
        <v>24.812417982347757</v>
      </c>
      <c r="F187" s="11">
        <f t="shared" si="128"/>
        <v>-15.285535604170537</v>
      </c>
      <c r="G187" s="200">
        <f t="shared" si="130"/>
        <v>1.4869539674842835E-2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6"/>
        <v>32 Health and social care associate professionals</v>
      </c>
      <c r="B188" s="11">
        <v>103.95997064809954</v>
      </c>
      <c r="C188" s="11">
        <v>120.24288205290928</v>
      </c>
      <c r="D188" s="11">
        <f t="shared" si="127"/>
        <v>16.282911404809738</v>
      </c>
      <c r="E188" s="11">
        <v>63.595417030092925</v>
      </c>
      <c r="F188" s="11">
        <f t="shared" si="128"/>
        <v>79.87832843490267</v>
      </c>
      <c r="G188" s="200">
        <f t="shared" si="130"/>
        <v>3.2332222338958161E-2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6"/>
        <v>33 Protective service occupations</v>
      </c>
      <c r="B189" s="11">
        <v>60.974063948140085</v>
      </c>
      <c r="C189" s="11">
        <v>63.72338195546893</v>
      </c>
      <c r="D189" s="11">
        <f t="shared" si="127"/>
        <v>2.7493180073288457</v>
      </c>
      <c r="E189" s="11">
        <v>16.305024532322179</v>
      </c>
      <c r="F189" s="11">
        <f t="shared" si="128"/>
        <v>19.054342539651024</v>
      </c>
      <c r="G189" s="200">
        <f t="shared" si="130"/>
        <v>1.5923773387859441E-2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6"/>
        <v>34 Culture, media and sports occupations</v>
      </c>
      <c r="B190" s="11">
        <v>88.823015829416931</v>
      </c>
      <c r="C190" s="11">
        <v>73.905945960910515</v>
      </c>
      <c r="D190" s="11">
        <f t="shared" si="127"/>
        <v>-14.917069868506417</v>
      </c>
      <c r="E190" s="11">
        <v>28.801855097495622</v>
      </c>
      <c r="F190" s="11">
        <f t="shared" ref="F190:F191" si="131">SUM(D190:E190)</f>
        <v>13.884785228989205</v>
      </c>
      <c r="G190" s="200">
        <f t="shared" si="130"/>
        <v>1.8900033075076816E-2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6"/>
        <v>35 Business and public service associate professionals</v>
      </c>
      <c r="B191" s="11">
        <v>343.33794656030494</v>
      </c>
      <c r="C191" s="11">
        <v>283.23845406005688</v>
      </c>
      <c r="D191" s="11">
        <f t="shared" si="127"/>
        <v>-60.099492500248061</v>
      </c>
      <c r="E191" s="11">
        <v>125.81619761411017</v>
      </c>
      <c r="F191" s="11">
        <f t="shared" si="131"/>
        <v>65.716705113862105</v>
      </c>
      <c r="G191" s="200">
        <f t="shared" si="130"/>
        <v>2.1032540692337731E-2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6"/>
        <v>41 Administrative occupations</v>
      </c>
      <c r="B192" s="11">
        <v>541.44256549201168</v>
      </c>
      <c r="C192" s="11">
        <v>398.70962449678399</v>
      </c>
      <c r="D192" s="11">
        <f t="shared" si="127"/>
        <v>-142.73294099522769</v>
      </c>
      <c r="E192" s="11">
        <v>213.6885075575384</v>
      </c>
      <c r="F192" s="11">
        <f t="shared" ref="F192:F195" si="132">SUM(D192:E192)</f>
        <v>70.955566562310707</v>
      </c>
      <c r="G192" s="200">
        <f t="shared" si="130"/>
        <v>2.2424693031027676E-2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6"/>
        <v>42 Secretarial and related occupations</v>
      </c>
      <c r="B193" s="11">
        <v>109.2128514379568</v>
      </c>
      <c r="C193" s="11">
        <v>46.603079944867211</v>
      </c>
      <c r="D193" s="11">
        <f t="shared" si="127"/>
        <v>-62.609771493089589</v>
      </c>
      <c r="E193" s="11">
        <v>45.3084696719459</v>
      </c>
      <c r="F193" s="11">
        <f t="shared" si="132"/>
        <v>-17.301301821143689</v>
      </c>
      <c r="G193" s="200">
        <f t="shared" si="130"/>
        <v>2.34052591397651E-2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6"/>
        <v>51 Skilled agricultural and related trades</v>
      </c>
      <c r="B194" s="11">
        <v>40.277072553907644</v>
      </c>
      <c r="C194" s="11">
        <v>40.179985983721721</v>
      </c>
      <c r="D194" s="11">
        <f t="shared" si="127"/>
        <v>-9.7086570185922483E-2</v>
      </c>
      <c r="E194" s="11">
        <v>20.387144049415724</v>
      </c>
      <c r="F194" s="11">
        <f t="shared" si="132"/>
        <v>20.290057479229802</v>
      </c>
      <c r="G194" s="200">
        <f t="shared" si="130"/>
        <v>2.7680966446119948E-2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6"/>
        <v>52 Skilled metal, electrical and electronic trades</v>
      </c>
      <c r="B195" s="11">
        <v>387.56384404437597</v>
      </c>
      <c r="C195" s="11">
        <v>352.56983093376061</v>
      </c>
      <c r="D195" s="11">
        <f t="shared" si="127"/>
        <v>-34.994013110615356</v>
      </c>
      <c r="E195" s="11">
        <v>127.49785405683305</v>
      </c>
      <c r="F195" s="11">
        <f t="shared" si="132"/>
        <v>92.503840946217693</v>
      </c>
      <c r="G195" s="200">
        <f t="shared" si="130"/>
        <v>1.9141296724853651E-2</v>
      </c>
      <c r="I195" s="81"/>
      <c r="J195" s="72"/>
    </row>
    <row r="196" spans="1:14" x14ac:dyDescent="0.3">
      <c r="A196" t="str">
        <f t="shared" si="126"/>
        <v>53 Skilled construction and building trades</v>
      </c>
      <c r="B196" s="11">
        <v>262.60313047389013</v>
      </c>
      <c r="C196" s="11">
        <v>233.0022340452951</v>
      </c>
      <c r="D196" s="11">
        <f t="shared" si="127"/>
        <v>-29.600896428595036</v>
      </c>
      <c r="E196" s="11">
        <v>94.949010107716987</v>
      </c>
      <c r="F196" s="11">
        <f t="shared" ref="F196" si="133">SUM(D196:E196)</f>
        <v>65.348113679121951</v>
      </c>
      <c r="G196" s="200">
        <f t="shared" si="130"/>
        <v>2.078896264491048E-2</v>
      </c>
    </row>
    <row r="197" spans="1:14" x14ac:dyDescent="0.3">
      <c r="A197" t="str">
        <f t="shared" si="126"/>
        <v>54 Textiles, printing and other skilled trades</v>
      </c>
      <c r="B197" s="11">
        <v>134.71597471570939</v>
      </c>
      <c r="C197" s="11">
        <v>144.2237267206749</v>
      </c>
      <c r="D197" s="11">
        <f t="shared" si="127"/>
        <v>9.5077520049655107</v>
      </c>
      <c r="E197" s="11">
        <v>58.293042095026109</v>
      </c>
      <c r="F197" s="11">
        <f t="shared" ref="F197" si="134">SUM(D197:E197)</f>
        <v>67.80079409999162</v>
      </c>
      <c r="G197" s="200">
        <f t="shared" si="130"/>
        <v>2.4260834861389524E-2</v>
      </c>
    </row>
    <row r="198" spans="1:14" x14ac:dyDescent="0.3">
      <c r="A198" t="str">
        <f t="shared" si="126"/>
        <v>61 Caring personal service occupations</v>
      </c>
      <c r="B198" s="11">
        <v>734.54888757730043</v>
      </c>
      <c r="C198" s="11">
        <v>943.4795553055053</v>
      </c>
      <c r="D198" s="11">
        <f>C198-B198</f>
        <v>208.93066772820487</v>
      </c>
      <c r="E198" s="11">
        <v>476.13718919132322</v>
      </c>
      <c r="F198" s="11">
        <f>SUM(D198:E198)</f>
        <v>685.06785691952814</v>
      </c>
      <c r="G198" s="200">
        <f t="shared" si="130"/>
        <v>3.3873466120817985E-2</v>
      </c>
    </row>
    <row r="199" spans="1:14" x14ac:dyDescent="0.3">
      <c r="A199" t="str">
        <f t="shared" si="126"/>
        <v>62 Leisure, travel and related personal service occupations</v>
      </c>
      <c r="B199" s="11">
        <v>155.55545416998874</v>
      </c>
      <c r="C199" s="11">
        <v>141.12474334825023</v>
      </c>
      <c r="D199" s="11">
        <f t="shared" ref="D199:D205" si="135">C199-B199</f>
        <v>-14.430710821738501</v>
      </c>
      <c r="E199" s="11">
        <v>67.290727377788826</v>
      </c>
      <c r="F199" s="11">
        <f t="shared" ref="F199:F200" si="136">SUM(D199:E199)</f>
        <v>52.860016556050326</v>
      </c>
      <c r="G199" s="200">
        <f t="shared" si="130"/>
        <v>2.4254774138764645E-2</v>
      </c>
    </row>
    <row r="200" spans="1:14" x14ac:dyDescent="0.3">
      <c r="A200" t="str">
        <f t="shared" si="126"/>
        <v>63 Community and civil enforcement occupations</v>
      </c>
      <c r="B200" s="11">
        <v>5.2411389851054881</v>
      </c>
      <c r="C200" s="11">
        <v>3.5239036313502474</v>
      </c>
      <c r="D200" s="11">
        <f t="shared" si="135"/>
        <v>-1.7172353537552407</v>
      </c>
      <c r="E200" s="11">
        <v>1.3128659984141415</v>
      </c>
      <c r="F200" s="11">
        <f t="shared" si="136"/>
        <v>-0.40436935534109919</v>
      </c>
      <c r="G200" s="200">
        <f t="shared" si="130"/>
        <v>1.5014094047201443E-2</v>
      </c>
    </row>
    <row r="201" spans="1:14" x14ac:dyDescent="0.3">
      <c r="A201" t="str">
        <f t="shared" si="126"/>
        <v>71 Sales occupations</v>
      </c>
      <c r="B201" s="11">
        <v>495.33063249350482</v>
      </c>
      <c r="C201" s="11">
        <v>483.17849193996238</v>
      </c>
      <c r="D201" s="11">
        <f t="shared" si="135"/>
        <v>-12.152140553542438</v>
      </c>
      <c r="E201" s="11">
        <v>216.50126381245826</v>
      </c>
      <c r="F201" s="11">
        <f t="shared" ref="F201:F202" si="137">SUM(D201:E201)</f>
        <v>204.34912325891582</v>
      </c>
      <c r="G201" s="200">
        <f t="shared" si="130"/>
        <v>2.44689901086661E-2</v>
      </c>
    </row>
    <row r="202" spans="1:14" x14ac:dyDescent="0.3">
      <c r="A202" t="str">
        <f t="shared" si="126"/>
        <v>72 Customer service occupations</v>
      </c>
      <c r="B202" s="11">
        <v>125.02202060585394</v>
      </c>
      <c r="C202" s="11">
        <v>172.25373829477786</v>
      </c>
      <c r="D202" s="11">
        <f t="shared" si="135"/>
        <v>47.231717688923922</v>
      </c>
      <c r="E202" s="11">
        <v>67.630509915911048</v>
      </c>
      <c r="F202" s="11">
        <f t="shared" si="137"/>
        <v>114.86222760483497</v>
      </c>
      <c r="G202" s="200">
        <f t="shared" si="130"/>
        <v>2.924606104487637E-2</v>
      </c>
    </row>
    <row r="203" spans="1:14" x14ac:dyDescent="0.3">
      <c r="A203" t="str">
        <f t="shared" si="126"/>
        <v>81 Process, plant and machine operatives</v>
      </c>
      <c r="B203" s="11">
        <v>150.35092239301665</v>
      </c>
      <c r="C203" s="11">
        <v>226.87720155390244</v>
      </c>
      <c r="D203" s="11">
        <f t="shared" si="135"/>
        <v>76.526279160885792</v>
      </c>
      <c r="E203" s="11">
        <v>74.382902217095491</v>
      </c>
      <c r="F203" s="11">
        <f t="shared" ref="F203:F204" si="138">SUM(D203:E203)</f>
        <v>150.90918137798127</v>
      </c>
      <c r="G203" s="200">
        <f t="shared" si="130"/>
        <v>2.7158559922993986E-2</v>
      </c>
    </row>
    <row r="204" spans="1:14" x14ac:dyDescent="0.3">
      <c r="A204" t="str">
        <f t="shared" si="126"/>
        <v>82 Transport and mobile machine drivers and operatives</v>
      </c>
      <c r="B204" s="11">
        <v>214.25788601184234</v>
      </c>
      <c r="C204" s="11">
        <v>263.8147104688735</v>
      </c>
      <c r="D204" s="11">
        <f t="shared" si="135"/>
        <v>49.556824457031155</v>
      </c>
      <c r="E204" s="11">
        <v>123.38091801520814</v>
      </c>
      <c r="F204" s="11">
        <f t="shared" si="138"/>
        <v>172.93774247223928</v>
      </c>
      <c r="G204" s="200">
        <f t="shared" si="130"/>
        <v>3.0784080151569082E-2</v>
      </c>
    </row>
    <row r="205" spans="1:14" x14ac:dyDescent="0.3">
      <c r="A205" t="str">
        <f t="shared" si="126"/>
        <v>91 Elementary trades and related occupations</v>
      </c>
      <c r="B205" s="11">
        <v>61.061791005665413</v>
      </c>
      <c r="C205" s="11">
        <v>65.82190093511305</v>
      </c>
      <c r="D205" s="11">
        <f t="shared" si="135"/>
        <v>4.760109929447637</v>
      </c>
      <c r="E205" s="11">
        <v>21.618115439394412</v>
      </c>
      <c r="F205" s="11">
        <f t="shared" ref="F205" si="139">SUM(D205:E205)</f>
        <v>26.378225368842049</v>
      </c>
      <c r="G205" s="200">
        <f t="shared" si="130"/>
        <v>2.0411542505291091E-2</v>
      </c>
    </row>
    <row r="206" spans="1:14" x14ac:dyDescent="0.3">
      <c r="A206" t="str">
        <f t="shared" si="126"/>
        <v>92 Elementary administration and service occupations</v>
      </c>
      <c r="B206" s="11">
        <v>467.51238815628125</v>
      </c>
      <c r="C206" s="11">
        <v>458.81158774520134</v>
      </c>
      <c r="D206" s="11">
        <f t="shared" ref="D206" si="140">C206-B206</f>
        <v>-8.7008004110799106</v>
      </c>
      <c r="E206" s="11">
        <v>227.91462864641105</v>
      </c>
      <c r="F206" s="11">
        <f t="shared" ref="F206" si="141">SUM(D206:E206)</f>
        <v>219.21382823533114</v>
      </c>
      <c r="G206" s="200">
        <f t="shared" ref="G206" si="142">IF(B206&gt;0,(1+(E206/B206))^(1/($C$6-$B$6))-1,0)</f>
        <v>2.6826880074608095E-2</v>
      </c>
    </row>
    <row r="207" spans="1:14" x14ac:dyDescent="0.3">
      <c r="A207" t="str">
        <f t="shared" si="126"/>
        <v>All occupations</v>
      </c>
      <c r="B207" s="11">
        <f>SUM(B181:B206)</f>
        <v>5842.7949099002681</v>
      </c>
      <c r="C207" s="11">
        <f t="shared" ref="C207:F207" si="143">SUM(C181:C206)</f>
        <v>5820.8764372949227</v>
      </c>
      <c r="D207" s="11">
        <f t="shared" si="143"/>
        <v>-21.91847260534486</v>
      </c>
      <c r="E207" s="11">
        <f t="shared" si="143"/>
        <v>2619.1029091666978</v>
      </c>
      <c r="F207" s="11">
        <f t="shared" si="143"/>
        <v>2597.1844365613538</v>
      </c>
      <c r="G207" s="200">
        <f t="shared" si="130"/>
        <v>2.499829339556725E-2</v>
      </c>
    </row>
    <row r="209" spans="1:7" ht="24.9" x14ac:dyDescent="0.3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3">
      <c r="A210" t="str">
        <f t="shared" ref="A210:A236" si="145">A123</f>
        <v>11 Corporate managers and directors</v>
      </c>
      <c r="B210" s="11">
        <v>291.23100410902242</v>
      </c>
      <c r="C210" s="11">
        <v>183.69372219881353</v>
      </c>
      <c r="D210" s="11">
        <f>C210-B210</f>
        <v>-107.53728191020889</v>
      </c>
      <c r="E210" s="11">
        <v>101.32511146598017</v>
      </c>
      <c r="F210" s="11">
        <f>SUM(D210:E210)</f>
        <v>-6.2121704442287182</v>
      </c>
      <c r="G210" s="200">
        <f>IF(B210&gt;0,(1+(E210/B210))^(1/($C$6-$B$6))-1,0)</f>
        <v>2.0103590092973134E-2</v>
      </c>
    </row>
    <row r="211" spans="1:7" x14ac:dyDescent="0.3">
      <c r="A211" t="str">
        <f t="shared" si="145"/>
        <v>12 Other managers and proprietors</v>
      </c>
      <c r="B211" s="11">
        <v>167.47576350175376</v>
      </c>
      <c r="C211" s="11">
        <v>175.96865931007986</v>
      </c>
      <c r="D211" s="11">
        <f t="shared" ref="D211:D226" si="146">C211-B211</f>
        <v>8.4928958083260966</v>
      </c>
      <c r="E211" s="11">
        <v>98.872053936131579</v>
      </c>
      <c r="F211" s="11">
        <f t="shared" ref="F211:F218" si="147">SUM(D211:E211)</f>
        <v>107.36494974445768</v>
      </c>
      <c r="G211" s="200">
        <f t="shared" ref="G211:G213" si="148">IF(B211&gt;0,(1+(E211/B211))^(1/($C$6-$B$6))-1,0)</f>
        <v>3.1414292152859291E-2</v>
      </c>
    </row>
    <row r="212" spans="1:7" x14ac:dyDescent="0.3">
      <c r="A212" t="str">
        <f t="shared" si="145"/>
        <v>21 Science, research, engineering and technology professionals</v>
      </c>
      <c r="B212" s="11">
        <v>160.74396651192754</v>
      </c>
      <c r="C212" s="11">
        <v>125.85431287214381</v>
      </c>
      <c r="D212" s="11">
        <f t="shared" si="146"/>
        <v>-34.889653639783731</v>
      </c>
      <c r="E212" s="11">
        <v>47.57995136537501</v>
      </c>
      <c r="F212" s="11">
        <f t="shared" si="147"/>
        <v>12.690297725591279</v>
      </c>
      <c r="G212" s="200">
        <f t="shared" si="148"/>
        <v>1.7435679874357346E-2</v>
      </c>
    </row>
    <row r="213" spans="1:7" x14ac:dyDescent="0.3">
      <c r="A213" t="str">
        <f t="shared" si="145"/>
        <v>22 Health professionals</v>
      </c>
      <c r="B213" s="11">
        <v>91.999950513641693</v>
      </c>
      <c r="C213" s="11">
        <v>71.857967068606982</v>
      </c>
      <c r="D213" s="11">
        <f t="shared" si="146"/>
        <v>-20.141983445034711</v>
      </c>
      <c r="E213" s="11">
        <v>40.582507512250068</v>
      </c>
      <c r="F213" s="11">
        <f t="shared" si="147"/>
        <v>20.440524067215357</v>
      </c>
      <c r="G213" s="200">
        <f t="shared" si="148"/>
        <v>2.466027213188271E-2</v>
      </c>
    </row>
    <row r="214" spans="1:7" x14ac:dyDescent="0.3">
      <c r="A214" t="str">
        <f t="shared" si="145"/>
        <v>23 Teaching and other educational professionals</v>
      </c>
      <c r="B214" s="11">
        <v>44.840941725152462</v>
      </c>
      <c r="C214" s="11">
        <v>36.818793450024415</v>
      </c>
      <c r="D214" s="11">
        <f t="shared" si="146"/>
        <v>-8.0221482751280462</v>
      </c>
      <c r="E214" s="11">
        <v>18.765876379184938</v>
      </c>
      <c r="F214" s="11">
        <f t="shared" si="147"/>
        <v>10.743728104056892</v>
      </c>
      <c r="G214" s="200">
        <f>IF(B214&gt;0,(1+(E214/B214))^(1/($C$6-$B$6))-1,0)</f>
        <v>2.3580325782547318E-2</v>
      </c>
    </row>
    <row r="215" spans="1:7" x14ac:dyDescent="0.3">
      <c r="A215" t="str">
        <f t="shared" si="145"/>
        <v>24 Business, media and public service professionals</v>
      </c>
      <c r="B215" s="11">
        <v>172.51968025528387</v>
      </c>
      <c r="C215" s="11">
        <v>133.37511132136501</v>
      </c>
      <c r="D215" s="11">
        <f t="shared" si="146"/>
        <v>-39.144568933918862</v>
      </c>
      <c r="E215" s="11">
        <v>62.347589065304916</v>
      </c>
      <c r="F215" s="11">
        <f t="shared" si="147"/>
        <v>23.203020131386054</v>
      </c>
      <c r="G215" s="200">
        <f t="shared" ref="G215:G236" si="149">IF(B215&gt;0,(1+(E215/B215))^(1/($C$6-$B$6))-1,0)</f>
        <v>2.0780245713796663E-2</v>
      </c>
    </row>
    <row r="216" spans="1:7" x14ac:dyDescent="0.3">
      <c r="A216" t="str">
        <f t="shared" si="145"/>
        <v>31 Science, engineering and technology associate professionals</v>
      </c>
      <c r="B216" s="11">
        <v>75.604464599403741</v>
      </c>
      <c r="C216" s="11">
        <v>55.011973268486216</v>
      </c>
      <c r="D216" s="11">
        <f t="shared" si="146"/>
        <v>-20.592491330917525</v>
      </c>
      <c r="E216" s="11">
        <v>22.498242830039601</v>
      </c>
      <c r="F216" s="11">
        <f t="shared" si="147"/>
        <v>1.9057514991220756</v>
      </c>
      <c r="G216" s="200">
        <f t="shared" si="149"/>
        <v>1.7518318749959239E-2</v>
      </c>
    </row>
    <row r="217" spans="1:7" x14ac:dyDescent="0.3">
      <c r="A217" t="str">
        <f t="shared" si="145"/>
        <v>32 Health and social care associate professionals</v>
      </c>
      <c r="B217" s="11">
        <v>72.369704727264903</v>
      </c>
      <c r="C217" s="11">
        <v>53.661361418668299</v>
      </c>
      <c r="D217" s="11">
        <f t="shared" si="146"/>
        <v>-18.708343308596604</v>
      </c>
      <c r="E217" s="11">
        <v>32.729719792084552</v>
      </c>
      <c r="F217" s="11">
        <f t="shared" si="147"/>
        <v>14.021376483487948</v>
      </c>
      <c r="G217" s="200">
        <f t="shared" si="149"/>
        <v>2.5186556358379519E-2</v>
      </c>
    </row>
    <row r="218" spans="1:7" x14ac:dyDescent="0.3">
      <c r="A218" t="str">
        <f t="shared" si="145"/>
        <v>33 Protective service occupations</v>
      </c>
      <c r="B218" s="11">
        <v>66.609898831120475</v>
      </c>
      <c r="C218" s="11">
        <v>57.92538470632563</v>
      </c>
      <c r="D218" s="11">
        <f t="shared" si="146"/>
        <v>-8.6845141247948447</v>
      </c>
      <c r="E218" s="11">
        <v>19.25712509497707</v>
      </c>
      <c r="F218" s="11">
        <f t="shared" si="147"/>
        <v>10.572610970182225</v>
      </c>
      <c r="G218" s="200">
        <f t="shared" si="149"/>
        <v>1.7073898758163786E-2</v>
      </c>
    </row>
    <row r="219" spans="1:7" x14ac:dyDescent="0.3">
      <c r="A219" t="str">
        <f t="shared" si="145"/>
        <v>34 Culture, media and sports occupations</v>
      </c>
      <c r="B219" s="11">
        <v>40.543871535620703</v>
      </c>
      <c r="C219" s="11">
        <v>18.025968954035374</v>
      </c>
      <c r="D219" s="11">
        <f t="shared" si="146"/>
        <v>-22.517902581585329</v>
      </c>
      <c r="E219" s="11">
        <v>9.8517991155595848</v>
      </c>
      <c r="F219" s="11">
        <f t="shared" ref="F219:F220" si="150">SUM(D219:E219)</f>
        <v>-12.666103466025744</v>
      </c>
      <c r="G219" s="200">
        <f t="shared" si="149"/>
        <v>1.4607030778710728E-2</v>
      </c>
    </row>
    <row r="220" spans="1:7" x14ac:dyDescent="0.3">
      <c r="A220" t="str">
        <f t="shared" si="145"/>
        <v>35 Business and public service associate professionals</v>
      </c>
      <c r="B220" s="11">
        <v>262.84163138319423</v>
      </c>
      <c r="C220" s="11">
        <v>172.40822506752579</v>
      </c>
      <c r="D220" s="11">
        <f t="shared" si="146"/>
        <v>-90.433406315668435</v>
      </c>
      <c r="E220" s="11">
        <v>81.557582185800271</v>
      </c>
      <c r="F220" s="11">
        <f t="shared" si="150"/>
        <v>-8.8758241298681639</v>
      </c>
      <c r="G220" s="200">
        <f t="shared" si="149"/>
        <v>1.8179932359132289E-2</v>
      </c>
    </row>
    <row r="221" spans="1:7" x14ac:dyDescent="0.3">
      <c r="A221" t="str">
        <f t="shared" si="145"/>
        <v>41 Administrative occupations</v>
      </c>
      <c r="B221" s="11">
        <v>567.38048879905398</v>
      </c>
      <c r="C221" s="11">
        <v>314.85788377019907</v>
      </c>
      <c r="D221" s="11">
        <f t="shared" si="146"/>
        <v>-252.52260502885491</v>
      </c>
      <c r="E221" s="11">
        <v>182.7574781993726</v>
      </c>
      <c r="F221" s="11">
        <f t="shared" ref="F221:F224" si="151">SUM(D221:E221)</f>
        <v>-69.765126829482313</v>
      </c>
      <c r="G221" s="200">
        <f t="shared" si="149"/>
        <v>1.8789475783094867E-2</v>
      </c>
    </row>
    <row r="222" spans="1:7" x14ac:dyDescent="0.3">
      <c r="A222" t="str">
        <f t="shared" si="145"/>
        <v>42 Secretarial and related occupations</v>
      </c>
      <c r="B222" s="11">
        <v>120.74145102010606</v>
      </c>
      <c r="C222" s="11">
        <v>25.959877848974575</v>
      </c>
      <c r="D222" s="11">
        <f t="shared" si="146"/>
        <v>-94.781573171131484</v>
      </c>
      <c r="E222" s="11">
        <v>34.157476064627382</v>
      </c>
      <c r="F222" s="11">
        <f t="shared" si="151"/>
        <v>-60.624097106504102</v>
      </c>
      <c r="G222" s="200">
        <f t="shared" si="149"/>
        <v>1.6746769641069248E-2</v>
      </c>
    </row>
    <row r="223" spans="1:7" x14ac:dyDescent="0.3">
      <c r="A223" t="str">
        <f t="shared" si="145"/>
        <v>51 Skilled agricultural and related trades</v>
      </c>
      <c r="B223" s="11">
        <v>61.676108131868773</v>
      </c>
      <c r="C223" s="11">
        <v>58.740794800372818</v>
      </c>
      <c r="D223" s="11">
        <f t="shared" si="146"/>
        <v>-2.935313331495955</v>
      </c>
      <c r="E223" s="11">
        <v>32.255767551152054</v>
      </c>
      <c r="F223" s="11">
        <f t="shared" si="151"/>
        <v>29.320454219656099</v>
      </c>
      <c r="G223" s="200">
        <f t="shared" si="149"/>
        <v>2.8441837333739617E-2</v>
      </c>
    </row>
    <row r="224" spans="1:7" x14ac:dyDescent="0.3">
      <c r="A224" t="str">
        <f t="shared" si="145"/>
        <v>52 Skilled metal, electrical and electronic trades</v>
      </c>
      <c r="B224" s="11">
        <v>219.58902283525106</v>
      </c>
      <c r="C224" s="11">
        <v>163.94407516031032</v>
      </c>
      <c r="D224" s="11">
        <f t="shared" si="146"/>
        <v>-55.644947674940738</v>
      </c>
      <c r="E224" s="11">
        <v>69.56906719073136</v>
      </c>
      <c r="F224" s="11">
        <f t="shared" si="151"/>
        <v>13.924119515790622</v>
      </c>
      <c r="G224" s="200">
        <f t="shared" si="149"/>
        <v>1.8517076401927568E-2</v>
      </c>
    </row>
    <row r="225" spans="1:7" x14ac:dyDescent="0.3">
      <c r="A225" t="str">
        <f t="shared" si="145"/>
        <v>53 Skilled construction and building trades</v>
      </c>
      <c r="B225" s="11">
        <v>243.59495492479925</v>
      </c>
      <c r="C225" s="11">
        <v>262.7585679420875</v>
      </c>
      <c r="D225" s="11">
        <f t="shared" si="146"/>
        <v>19.163613017288242</v>
      </c>
      <c r="E225" s="11">
        <v>116.06386124901428</v>
      </c>
      <c r="F225" s="11">
        <f t="shared" ref="F225" si="152">SUM(D225:E225)</f>
        <v>135.22747426630252</v>
      </c>
      <c r="G225" s="200">
        <f t="shared" si="149"/>
        <v>2.6316934024157357E-2</v>
      </c>
    </row>
    <row r="226" spans="1:7" x14ac:dyDescent="0.3">
      <c r="A226" t="str">
        <f t="shared" si="145"/>
        <v>54 Textiles, printing and other skilled trades</v>
      </c>
      <c r="B226" s="11">
        <v>129.76249687094062</v>
      </c>
      <c r="C226" s="11">
        <v>96.879826594754221</v>
      </c>
      <c r="D226" s="11">
        <f t="shared" si="146"/>
        <v>-32.882670276186403</v>
      </c>
      <c r="E226" s="11">
        <v>42.675626254684076</v>
      </c>
      <c r="F226" s="11">
        <f t="shared" ref="F226" si="153">SUM(D226:E226)</f>
        <v>9.7929559784976732</v>
      </c>
      <c r="G226" s="200">
        <f t="shared" si="149"/>
        <v>1.9136305092880335E-2</v>
      </c>
    </row>
    <row r="227" spans="1:7" x14ac:dyDescent="0.3">
      <c r="A227" t="str">
        <f t="shared" si="145"/>
        <v>61 Caring personal service occupations</v>
      </c>
      <c r="B227" s="11">
        <v>490.50580362650487</v>
      </c>
      <c r="C227" s="11">
        <v>395.78192855232595</v>
      </c>
      <c r="D227" s="11">
        <f>C227-B227</f>
        <v>-94.72387507417892</v>
      </c>
      <c r="E227" s="11">
        <v>225.29899395109706</v>
      </c>
      <c r="F227" s="11">
        <f>SUM(D227:E227)</f>
        <v>130.57511887691814</v>
      </c>
      <c r="G227" s="200">
        <f t="shared" si="149"/>
        <v>2.5518179661588203E-2</v>
      </c>
    </row>
    <row r="228" spans="1:7" x14ac:dyDescent="0.3">
      <c r="A228" t="str">
        <f t="shared" si="145"/>
        <v>62 Leisure, travel and related personal service occupations</v>
      </c>
      <c r="B228" s="11">
        <v>148.92097969124384</v>
      </c>
      <c r="C228" s="11">
        <v>106.31598854627681</v>
      </c>
      <c r="D228" s="11">
        <f t="shared" ref="D228:D234" si="154">C228-B228</f>
        <v>-42.60499114496703</v>
      </c>
      <c r="E228" s="11">
        <v>58.938640255141493</v>
      </c>
      <c r="F228" s="11">
        <f t="shared" ref="F228:F229" si="155">SUM(D228:E228)</f>
        <v>16.333649110174463</v>
      </c>
      <c r="G228" s="200">
        <f t="shared" si="149"/>
        <v>2.2478731273740005E-2</v>
      </c>
    </row>
    <row r="229" spans="1:7" x14ac:dyDescent="0.3">
      <c r="A229" t="str">
        <f t="shared" si="145"/>
        <v>63 Community and civil enforcement occupations</v>
      </c>
      <c r="B229" s="11">
        <v>7.6197575370777244</v>
      </c>
      <c r="C229" s="11">
        <v>5.3551318053538255</v>
      </c>
      <c r="D229" s="11">
        <f t="shared" si="154"/>
        <v>-2.2646257317238989</v>
      </c>
      <c r="E229" s="11">
        <v>2.3695328273248264</v>
      </c>
      <c r="F229" s="11">
        <f t="shared" si="155"/>
        <v>0.10490709560092748</v>
      </c>
      <c r="G229" s="200">
        <f t="shared" si="149"/>
        <v>1.8215175932041028E-2</v>
      </c>
    </row>
    <row r="230" spans="1:7" x14ac:dyDescent="0.3">
      <c r="A230" t="str">
        <f t="shared" si="145"/>
        <v>71 Sales occupations</v>
      </c>
      <c r="B230" s="11">
        <v>447.41848732431663</v>
      </c>
      <c r="C230" s="11">
        <v>304.90346382577962</v>
      </c>
      <c r="D230" s="11">
        <f t="shared" si="154"/>
        <v>-142.515023498537</v>
      </c>
      <c r="E230" s="11">
        <v>168.87485004879139</v>
      </c>
      <c r="F230" s="11">
        <f t="shared" ref="F230:F231" si="156">SUM(D230:E230)</f>
        <v>26.359826550254382</v>
      </c>
      <c r="G230" s="200">
        <f t="shared" si="149"/>
        <v>2.1578089726830063E-2</v>
      </c>
    </row>
    <row r="231" spans="1:7" x14ac:dyDescent="0.3">
      <c r="A231" t="str">
        <f t="shared" si="145"/>
        <v>72 Customer service occupations</v>
      </c>
      <c r="B231" s="11">
        <v>123.61311904453656</v>
      </c>
      <c r="C231" s="11">
        <v>140.65683481939143</v>
      </c>
      <c r="D231" s="11">
        <f t="shared" si="154"/>
        <v>17.043715774854874</v>
      </c>
      <c r="E231" s="11">
        <v>66.944069814962717</v>
      </c>
      <c r="F231" s="11">
        <f t="shared" si="156"/>
        <v>83.987785589817591</v>
      </c>
      <c r="G231" s="200">
        <f t="shared" si="149"/>
        <v>2.9273326359851692E-2</v>
      </c>
    </row>
    <row r="232" spans="1:7" x14ac:dyDescent="0.3">
      <c r="A232" t="str">
        <f t="shared" si="145"/>
        <v>81 Process, plant and machine operatives</v>
      </c>
      <c r="B232" s="11">
        <v>185.08155127611423</v>
      </c>
      <c r="C232" s="11">
        <v>226.62150541188666</v>
      </c>
      <c r="D232" s="11">
        <f t="shared" si="154"/>
        <v>41.539954135772433</v>
      </c>
      <c r="E232" s="11">
        <v>89.960195018771429</v>
      </c>
      <c r="F232" s="11">
        <f t="shared" ref="F232:F233" si="157">SUM(D232:E232)</f>
        <v>131.50014915454386</v>
      </c>
      <c r="G232" s="200">
        <f t="shared" si="149"/>
        <v>2.676021534952211E-2</v>
      </c>
    </row>
    <row r="233" spans="1:7" x14ac:dyDescent="0.3">
      <c r="A233" t="str">
        <f t="shared" si="145"/>
        <v>82 Transport and mobile machine drivers and operatives</v>
      </c>
      <c r="B233" s="11">
        <v>307.89564591149946</v>
      </c>
      <c r="C233" s="11">
        <v>339.40375367358001</v>
      </c>
      <c r="D233" s="11">
        <f t="shared" si="154"/>
        <v>31.508107762080556</v>
      </c>
      <c r="E233" s="11">
        <v>181.09862511858938</v>
      </c>
      <c r="F233" s="11">
        <f t="shared" si="157"/>
        <v>212.60673288066994</v>
      </c>
      <c r="G233" s="200">
        <f t="shared" si="149"/>
        <v>3.1319782244959127E-2</v>
      </c>
    </row>
    <row r="234" spans="1:7" x14ac:dyDescent="0.3">
      <c r="A234" t="str">
        <f t="shared" si="145"/>
        <v>91 Elementary trades and related occupations</v>
      </c>
      <c r="B234" s="11">
        <v>97.703342980777961</v>
      </c>
      <c r="C234" s="11">
        <v>77.174639500807615</v>
      </c>
      <c r="D234" s="11">
        <f t="shared" si="154"/>
        <v>-20.528703479970346</v>
      </c>
      <c r="E234" s="11">
        <v>30.596469997024812</v>
      </c>
      <c r="F234" s="11">
        <f t="shared" ref="F234" si="158">SUM(D234:E234)</f>
        <v>10.067766517054466</v>
      </c>
      <c r="G234" s="200">
        <f t="shared" si="149"/>
        <v>1.8328206332337338E-2</v>
      </c>
    </row>
    <row r="235" spans="1:7" x14ac:dyDescent="0.3">
      <c r="A235" t="str">
        <f t="shared" si="145"/>
        <v>92 Elementary administration and service occupations</v>
      </c>
      <c r="B235" s="11">
        <v>731.87778282282113</v>
      </c>
      <c r="C235" s="11">
        <v>668.58694546381037</v>
      </c>
      <c r="D235" s="11">
        <f t="shared" ref="D235" si="159">C235-B235</f>
        <v>-63.290837359010766</v>
      </c>
      <c r="E235" s="11">
        <v>342.987485108643</v>
      </c>
      <c r="F235" s="11">
        <f t="shared" ref="F235" si="160">SUM(D235:E235)</f>
        <v>279.69664774963223</v>
      </c>
      <c r="G235" s="200">
        <f t="shared" ref="G235" si="161">IF(B235&gt;0,(1+(E235/B235))^(1/($C$6-$B$6))-1,0)</f>
        <v>2.5953548057322529E-2</v>
      </c>
    </row>
    <row r="236" spans="1:7" x14ac:dyDescent="0.3">
      <c r="A236" t="str">
        <f t="shared" si="145"/>
        <v>All occupations</v>
      </c>
      <c r="B236" s="11">
        <f>SUM(B210:B235)</f>
        <v>5330.1618704902985</v>
      </c>
      <c r="C236" s="11">
        <f t="shared" ref="C236:F236" si="162">SUM(C210:C235)</f>
        <v>4272.5426973519852</v>
      </c>
      <c r="D236" s="11">
        <f t="shared" si="162"/>
        <v>-1057.6191731383124</v>
      </c>
      <c r="E236" s="11">
        <f t="shared" si="162"/>
        <v>2179.9156973926156</v>
      </c>
      <c r="F236" s="11">
        <f t="shared" si="162"/>
        <v>1122.2965242543034</v>
      </c>
      <c r="G236" s="200">
        <f t="shared" si="149"/>
        <v>2.3120849515789077E-2</v>
      </c>
    </row>
    <row r="238" spans="1:7" ht="24.9" x14ac:dyDescent="0.3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3">
      <c r="A239" t="str">
        <f t="shared" ref="A239:A265" si="164">A152</f>
        <v>11 Corporate managers and directors</v>
      </c>
      <c r="B239" s="11">
        <v>209.1630231570343</v>
      </c>
      <c r="C239" s="11">
        <v>138.36696584850117</v>
      </c>
      <c r="D239" s="11">
        <f>C239-B239</f>
        <v>-70.796057308533136</v>
      </c>
      <c r="E239" s="11">
        <v>72.622808315162914</v>
      </c>
      <c r="F239" s="11">
        <f>SUM(D239:E239)</f>
        <v>1.8267510066297774</v>
      </c>
      <c r="G239" s="200">
        <f>IF(B239&gt;0,(1+(E239/B239))^(1/($C$6-$B$6))-1,0)</f>
        <v>2.0067590640547195E-2</v>
      </c>
    </row>
    <row r="240" spans="1:7" x14ac:dyDescent="0.3">
      <c r="A240" t="str">
        <f t="shared" si="164"/>
        <v>12 Other managers and proprietors</v>
      </c>
      <c r="B240" s="11">
        <v>109.65039322397118</v>
      </c>
      <c r="C240" s="11">
        <v>88.67866273510063</v>
      </c>
      <c r="D240" s="11">
        <f t="shared" ref="D240:D255" si="165">C240-B240</f>
        <v>-20.971730488870548</v>
      </c>
      <c r="E240" s="11">
        <v>48.301988905800052</v>
      </c>
      <c r="F240" s="11">
        <f t="shared" ref="F240:F247" si="166">SUM(D240:E240)</f>
        <v>27.330258416929503</v>
      </c>
      <c r="G240" s="200">
        <f t="shared" ref="G240:G242" si="167">IF(B240&gt;0,(1+(E240/B240))^(1/($C$6-$B$6))-1,0)</f>
        <v>2.4631569081860816E-2</v>
      </c>
    </row>
    <row r="241" spans="1:7" x14ac:dyDescent="0.3">
      <c r="A241" t="str">
        <f t="shared" si="164"/>
        <v>21 Science, research, engineering and technology professionals</v>
      </c>
      <c r="B241" s="11">
        <v>97.374645861795202</v>
      </c>
      <c r="C241" s="11">
        <v>61.290661217013763</v>
      </c>
      <c r="D241" s="11">
        <f t="shared" si="165"/>
        <v>-36.083984644781438</v>
      </c>
      <c r="E241" s="11">
        <v>24.0990460721404</v>
      </c>
      <c r="F241" s="11">
        <f t="shared" si="166"/>
        <v>-11.984938572641038</v>
      </c>
      <c r="G241" s="200">
        <f t="shared" si="167"/>
        <v>1.4851324034052649E-2</v>
      </c>
    </row>
    <row r="242" spans="1:7" x14ac:dyDescent="0.3">
      <c r="A242" t="str">
        <f t="shared" si="164"/>
        <v>22 Health professionals</v>
      </c>
      <c r="B242" s="11">
        <v>50.963902604917088</v>
      </c>
      <c r="C242" s="11">
        <v>30.716559686149186</v>
      </c>
      <c r="D242" s="11">
        <f t="shared" si="165"/>
        <v>-20.247342918767902</v>
      </c>
      <c r="E242" s="11">
        <v>17.944515984889406</v>
      </c>
      <c r="F242" s="11">
        <f t="shared" si="166"/>
        <v>-2.3028269338784959</v>
      </c>
      <c r="G242" s="200">
        <f t="shared" si="167"/>
        <v>2.031430066830997E-2</v>
      </c>
    </row>
    <row r="243" spans="1:7" x14ac:dyDescent="0.3">
      <c r="A243" t="str">
        <f t="shared" si="164"/>
        <v>23 Teaching and other educational professionals</v>
      </c>
      <c r="B243" s="11">
        <v>32.902069659164546</v>
      </c>
      <c r="C243" s="11">
        <v>25.036374563451044</v>
      </c>
      <c r="D243" s="11">
        <f t="shared" si="165"/>
        <v>-7.8656950957135017</v>
      </c>
      <c r="E243" s="11">
        <v>12.353576713568321</v>
      </c>
      <c r="F243" s="11">
        <f t="shared" si="166"/>
        <v>4.4878816178548195</v>
      </c>
      <c r="G243" s="200">
        <f>IF(B243&gt;0,(1+(E243/B243))^(1/($C$6-$B$6))-1,0)</f>
        <v>2.148024108369806E-2</v>
      </c>
    </row>
    <row r="244" spans="1:7" x14ac:dyDescent="0.3">
      <c r="A244" t="str">
        <f t="shared" si="164"/>
        <v>24 Business, media and public service professionals</v>
      </c>
      <c r="B244" s="11">
        <v>109.66465696706948</v>
      </c>
      <c r="C244" s="11">
        <v>67.864053151602775</v>
      </c>
      <c r="D244" s="11">
        <f t="shared" si="165"/>
        <v>-41.800603815466701</v>
      </c>
      <c r="E244" s="11">
        <v>34.347162252371675</v>
      </c>
      <c r="F244" s="11">
        <f t="shared" si="166"/>
        <v>-7.4534415630950264</v>
      </c>
      <c r="G244" s="200">
        <f t="shared" ref="G244:G265" si="168">IF(B244&gt;0,(1+(E244/B244))^(1/($C$6-$B$6))-1,0)</f>
        <v>1.8330528058853712E-2</v>
      </c>
    </row>
    <row r="245" spans="1:7" x14ac:dyDescent="0.3">
      <c r="A245" t="str">
        <f t="shared" si="164"/>
        <v>31 Science, engineering and technology associate professionals</v>
      </c>
      <c r="B245" s="11">
        <v>61.522881198585289</v>
      </c>
      <c r="C245" s="11">
        <v>39.18314871658535</v>
      </c>
      <c r="D245" s="11">
        <f t="shared" si="165"/>
        <v>-22.339732481999938</v>
      </c>
      <c r="E245" s="11">
        <v>16.265428708806436</v>
      </c>
      <c r="F245" s="11">
        <f t="shared" si="166"/>
        <v>-6.0743037731935026</v>
      </c>
      <c r="G245" s="200">
        <f>IF(B245&gt;0,(1+(E245/B245))^(1/($C$6-$B$6))-1,0)</f>
        <v>1.5761726273120891E-2</v>
      </c>
    </row>
    <row r="246" spans="1:7" x14ac:dyDescent="0.3">
      <c r="A246" t="str">
        <f t="shared" si="164"/>
        <v>32 Health and social care associate professionals</v>
      </c>
      <c r="B246" s="11">
        <v>23.660715270075642</v>
      </c>
      <c r="C246" s="11">
        <v>12.620454818712487</v>
      </c>
      <c r="D246" s="11">
        <f t="shared" si="165"/>
        <v>-11.040260451363155</v>
      </c>
      <c r="E246" s="11">
        <v>7.5457242068899575</v>
      </c>
      <c r="F246" s="11">
        <f t="shared" si="166"/>
        <v>-3.4945362444731973</v>
      </c>
      <c r="G246" s="200">
        <f t="shared" si="168"/>
        <v>1.8625217160662899E-2</v>
      </c>
    </row>
    <row r="247" spans="1:7" x14ac:dyDescent="0.3">
      <c r="A247" t="str">
        <f t="shared" si="164"/>
        <v>33 Protective service occupations</v>
      </c>
      <c r="B247" s="11">
        <v>37.51388092777205</v>
      </c>
      <c r="C247" s="11">
        <v>32.309421079985896</v>
      </c>
      <c r="D247" s="11">
        <f t="shared" si="165"/>
        <v>-5.2044598477861541</v>
      </c>
      <c r="E247" s="11">
        <v>12.943530118815913</v>
      </c>
      <c r="F247" s="11">
        <f t="shared" si="166"/>
        <v>7.7390702710297585</v>
      </c>
      <c r="G247" s="200">
        <f t="shared" si="168"/>
        <v>1.9957786667461397E-2</v>
      </c>
    </row>
    <row r="248" spans="1:7" x14ac:dyDescent="0.3">
      <c r="A248" t="str">
        <f t="shared" si="164"/>
        <v>34 Culture, media and sports occupations</v>
      </c>
      <c r="B248" s="11">
        <v>35.847889106949374</v>
      </c>
      <c r="C248" s="11">
        <v>18.89562973878407</v>
      </c>
      <c r="D248" s="11">
        <f t="shared" si="165"/>
        <v>-16.952259368165304</v>
      </c>
      <c r="E248" s="11">
        <v>9.129266284354113</v>
      </c>
      <c r="F248" s="11">
        <f t="shared" ref="F248:F249" si="169">SUM(D248:E248)</f>
        <v>-7.8229930838111912</v>
      </c>
      <c r="G248" s="200">
        <f t="shared" si="168"/>
        <v>1.5239624541704799E-2</v>
      </c>
    </row>
    <row r="249" spans="1:7" x14ac:dyDescent="0.3">
      <c r="A249" t="str">
        <f t="shared" si="164"/>
        <v>35 Business and public service associate professionals</v>
      </c>
      <c r="B249" s="11">
        <v>158.9461950344778</v>
      </c>
      <c r="C249" s="11">
        <v>79.420185732563155</v>
      </c>
      <c r="D249" s="11">
        <f t="shared" si="165"/>
        <v>-79.526009301914641</v>
      </c>
      <c r="E249" s="11">
        <v>39.779934768510486</v>
      </c>
      <c r="F249" s="11">
        <f t="shared" si="169"/>
        <v>-39.746074533404155</v>
      </c>
      <c r="G249" s="200">
        <f t="shared" si="168"/>
        <v>1.5002213267660602E-2</v>
      </c>
    </row>
    <row r="250" spans="1:7" x14ac:dyDescent="0.3">
      <c r="A250" t="str">
        <f t="shared" si="164"/>
        <v>41 Administrative occupations</v>
      </c>
      <c r="B250" s="11">
        <v>275.99601850467667</v>
      </c>
      <c r="C250" s="11">
        <v>68.721707917894008</v>
      </c>
      <c r="D250" s="11">
        <f t="shared" si="165"/>
        <v>-207.27431058678266</v>
      </c>
      <c r="E250" s="11">
        <v>55.432652651109265</v>
      </c>
      <c r="F250" s="11">
        <f t="shared" ref="F250:F253" si="170">SUM(D250:E250)</f>
        <v>-151.8416579356734</v>
      </c>
      <c r="G250" s="200">
        <f t="shared" si="168"/>
        <v>1.2276490095601389E-2</v>
      </c>
    </row>
    <row r="251" spans="1:7" x14ac:dyDescent="0.3">
      <c r="A251" t="str">
        <f t="shared" si="164"/>
        <v>42 Secretarial and related occupations</v>
      </c>
      <c r="B251" s="11">
        <v>111.06920788504358</v>
      </c>
      <c r="C251" s="11">
        <v>14.267680143571621</v>
      </c>
      <c r="D251" s="11">
        <f t="shared" si="165"/>
        <v>-96.801527741471958</v>
      </c>
      <c r="E251" s="11">
        <v>21.827021778221035</v>
      </c>
      <c r="F251" s="11">
        <f t="shared" si="170"/>
        <v>-74.97450596325092</v>
      </c>
      <c r="G251" s="200">
        <f t="shared" si="168"/>
        <v>1.2032825165934513E-2</v>
      </c>
    </row>
    <row r="252" spans="1:7" x14ac:dyDescent="0.3">
      <c r="A252" t="str">
        <f t="shared" si="164"/>
        <v>51 Skilled agricultural and related trades</v>
      </c>
      <c r="B252" s="11">
        <v>49.459239876493079</v>
      </c>
      <c r="C252" s="11">
        <v>51.617947691037138</v>
      </c>
      <c r="D252" s="11">
        <f t="shared" si="165"/>
        <v>2.1587078145440586</v>
      </c>
      <c r="E252" s="11">
        <v>22.147560308718365</v>
      </c>
      <c r="F252" s="11">
        <f t="shared" si="170"/>
        <v>24.306268123262424</v>
      </c>
      <c r="G252" s="200">
        <f t="shared" si="168"/>
        <v>2.4976217660737099E-2</v>
      </c>
    </row>
    <row r="253" spans="1:7" x14ac:dyDescent="0.3">
      <c r="A253" t="str">
        <f t="shared" si="164"/>
        <v>52 Skilled metal, electrical and electronic trades</v>
      </c>
      <c r="B253" s="11">
        <v>105.28125656792901</v>
      </c>
      <c r="C253" s="11">
        <v>54.65632867778573</v>
      </c>
      <c r="D253" s="11">
        <f t="shared" si="165"/>
        <v>-50.624927890143276</v>
      </c>
      <c r="E253" s="11">
        <v>29.913841980141385</v>
      </c>
      <c r="F253" s="11">
        <f t="shared" si="170"/>
        <v>-20.711085910001891</v>
      </c>
      <c r="G253" s="200">
        <f t="shared" si="168"/>
        <v>1.6811991072511079E-2</v>
      </c>
    </row>
    <row r="254" spans="1:7" x14ac:dyDescent="0.3">
      <c r="A254" t="str">
        <f t="shared" si="164"/>
        <v>53 Skilled construction and building trades</v>
      </c>
      <c r="B254" s="11">
        <v>116.97813320730828</v>
      </c>
      <c r="C254" s="11">
        <v>112.94116591758696</v>
      </c>
      <c r="D254" s="11">
        <f t="shared" si="165"/>
        <v>-4.0369672897213178</v>
      </c>
      <c r="E254" s="11">
        <v>46.021664582531592</v>
      </c>
      <c r="F254" s="11">
        <f t="shared" ref="F254" si="171">SUM(D254:E254)</f>
        <v>41.984697292810274</v>
      </c>
      <c r="G254" s="200">
        <f t="shared" si="168"/>
        <v>2.2363866907461061E-2</v>
      </c>
    </row>
    <row r="255" spans="1:7" x14ac:dyDescent="0.3">
      <c r="A255" t="str">
        <f t="shared" si="164"/>
        <v>54 Textiles, printing and other skilled trades</v>
      </c>
      <c r="B255" s="11">
        <v>115.42027908279015</v>
      </c>
      <c r="C255" s="11">
        <v>86.892764095458929</v>
      </c>
      <c r="D255" s="11">
        <f t="shared" si="165"/>
        <v>-28.527514987331216</v>
      </c>
      <c r="E255" s="11">
        <v>36.706090912933547</v>
      </c>
      <c r="F255" s="11">
        <f t="shared" ref="F255" si="172">SUM(D255:E255)</f>
        <v>8.1785759256023312</v>
      </c>
      <c r="G255" s="200">
        <f t="shared" si="168"/>
        <v>1.8579251852839818E-2</v>
      </c>
    </row>
    <row r="256" spans="1:7" x14ac:dyDescent="0.3">
      <c r="A256" t="str">
        <f t="shared" si="164"/>
        <v>61 Caring personal service occupations</v>
      </c>
      <c r="B256" s="11">
        <v>82.538184406237548</v>
      </c>
      <c r="C256" s="11">
        <v>51.183597910752212</v>
      </c>
      <c r="D256" s="11">
        <f>C256-B256</f>
        <v>-31.354586495485336</v>
      </c>
      <c r="E256" s="11">
        <v>19.060094860397385</v>
      </c>
      <c r="F256" s="11">
        <f>SUM(D256:E256)</f>
        <v>-12.294491635087951</v>
      </c>
      <c r="G256" s="200">
        <f t="shared" si="168"/>
        <v>1.3947408128811567E-2</v>
      </c>
    </row>
    <row r="257" spans="1:7" x14ac:dyDescent="0.3">
      <c r="A257" t="str">
        <f t="shared" si="164"/>
        <v>62 Leisure, travel and related personal service occupations</v>
      </c>
      <c r="B257" s="11">
        <v>98.802289183893222</v>
      </c>
      <c r="C257" s="11">
        <v>74.933984093772096</v>
      </c>
      <c r="D257" s="11">
        <f t="shared" ref="D257:D263" si="173">C257-B257</f>
        <v>-23.868305090121126</v>
      </c>
      <c r="E257" s="11">
        <v>36.571886240109009</v>
      </c>
      <c r="F257" s="11">
        <f t="shared" ref="F257:F258" si="174">SUM(D257:E257)</f>
        <v>12.703581149987883</v>
      </c>
      <c r="G257" s="200">
        <f t="shared" si="168"/>
        <v>2.121673039612948E-2</v>
      </c>
    </row>
    <row r="258" spans="1:7" x14ac:dyDescent="0.3">
      <c r="A258" t="str">
        <f t="shared" si="164"/>
        <v>63 Community and civil enforcement occupations</v>
      </c>
      <c r="B258" s="11">
        <v>6.5506038369259194</v>
      </c>
      <c r="C258" s="11">
        <v>4.5159676559390025</v>
      </c>
      <c r="D258" s="11">
        <f t="shared" si="173"/>
        <v>-2.0346361809869169</v>
      </c>
      <c r="E258" s="11">
        <v>1.9857209012735879</v>
      </c>
      <c r="F258" s="11">
        <f t="shared" si="174"/>
        <v>-4.8915279713328985E-2</v>
      </c>
      <c r="G258" s="200">
        <f t="shared" si="168"/>
        <v>1.7808264217691772E-2</v>
      </c>
    </row>
    <row r="259" spans="1:7" x14ac:dyDescent="0.3">
      <c r="A259" t="str">
        <f t="shared" si="164"/>
        <v>71 Sales occupations</v>
      </c>
      <c r="B259" s="11">
        <v>306.33328574123635</v>
      </c>
      <c r="C259" s="11">
        <v>96.378405977547629</v>
      </c>
      <c r="D259" s="11">
        <f t="shared" si="173"/>
        <v>-209.95487976368872</v>
      </c>
      <c r="E259" s="11">
        <v>71.522998916417478</v>
      </c>
      <c r="F259" s="11">
        <f t="shared" ref="F259:F260" si="175">SUM(D259:E259)</f>
        <v>-138.43188084727126</v>
      </c>
      <c r="G259" s="200">
        <f t="shared" si="168"/>
        <v>1.4087658555361537E-2</v>
      </c>
    </row>
    <row r="260" spans="1:7" x14ac:dyDescent="0.3">
      <c r="A260" t="str">
        <f t="shared" si="164"/>
        <v>72 Customer service occupations</v>
      </c>
      <c r="B260" s="11">
        <v>59.496091571225016</v>
      </c>
      <c r="C260" s="11">
        <v>56.518953989640821</v>
      </c>
      <c r="D260" s="11">
        <f t="shared" si="173"/>
        <v>-2.9771375815841949</v>
      </c>
      <c r="E260" s="11">
        <v>20.02659811280132</v>
      </c>
      <c r="F260" s="11">
        <f t="shared" si="175"/>
        <v>17.049460531217125</v>
      </c>
      <c r="G260" s="200">
        <f t="shared" si="168"/>
        <v>1.9530388197950277E-2</v>
      </c>
    </row>
    <row r="261" spans="1:7" x14ac:dyDescent="0.3">
      <c r="A261" t="str">
        <f t="shared" si="164"/>
        <v>81 Process, plant and machine operatives</v>
      </c>
      <c r="B261" s="11">
        <v>143.68211863903088</v>
      </c>
      <c r="C261" s="11">
        <v>72.277047159593309</v>
      </c>
      <c r="D261" s="11">
        <f t="shared" si="173"/>
        <v>-71.405071479437566</v>
      </c>
      <c r="E261" s="11">
        <v>44.488076824209507</v>
      </c>
      <c r="F261" s="11">
        <f t="shared" ref="F261:F262" si="176">SUM(D261:E261)</f>
        <v>-26.916994655228059</v>
      </c>
      <c r="G261" s="200">
        <f t="shared" si="168"/>
        <v>1.8145565838451949E-2</v>
      </c>
    </row>
    <row r="262" spans="1:7" x14ac:dyDescent="0.3">
      <c r="A262" t="str">
        <f t="shared" si="164"/>
        <v>82 Transport and mobile machine drivers and operatives</v>
      </c>
      <c r="B262" s="11">
        <v>258.44996807258138</v>
      </c>
      <c r="C262" s="11">
        <v>194.48486126693274</v>
      </c>
      <c r="D262" s="11">
        <f t="shared" si="173"/>
        <v>-63.965106805648645</v>
      </c>
      <c r="E262" s="11">
        <v>105.45494569551178</v>
      </c>
      <c r="F262" s="11">
        <f t="shared" si="176"/>
        <v>41.489838889863137</v>
      </c>
      <c r="G262" s="200">
        <f t="shared" si="168"/>
        <v>2.3074898273223177E-2</v>
      </c>
    </row>
    <row r="263" spans="1:7" x14ac:dyDescent="0.3">
      <c r="A263" t="str">
        <f t="shared" si="164"/>
        <v>91 Elementary trades and related occupations</v>
      </c>
      <c r="B263" s="11">
        <v>118.12468614136257</v>
      </c>
      <c r="C263" s="11">
        <v>72.120933507534644</v>
      </c>
      <c r="D263" s="11">
        <f t="shared" si="173"/>
        <v>-46.003752633827929</v>
      </c>
      <c r="E263" s="11">
        <v>33.101633654754885</v>
      </c>
      <c r="F263" s="11">
        <f t="shared" ref="F263" si="177">SUM(D263:E263)</f>
        <v>-12.902118979073045</v>
      </c>
      <c r="G263" s="200">
        <f t="shared" si="168"/>
        <v>1.6605483016805866E-2</v>
      </c>
    </row>
    <row r="264" spans="1:7" x14ac:dyDescent="0.3">
      <c r="A264" t="str">
        <f t="shared" si="164"/>
        <v>92 Elementary administration and service occupations</v>
      </c>
      <c r="B264" s="11">
        <v>657.94918178803675</v>
      </c>
      <c r="C264" s="11">
        <v>443.81766867048924</v>
      </c>
      <c r="D264" s="11">
        <f t="shared" ref="D264" si="178">C264-B264</f>
        <v>-214.13151311754751</v>
      </c>
      <c r="E264" s="11">
        <v>227.10878542450592</v>
      </c>
      <c r="F264" s="11">
        <f t="shared" ref="F264" si="179">SUM(D264:E264)</f>
        <v>12.977272306958412</v>
      </c>
      <c r="G264" s="200">
        <f t="shared" ref="G264" si="180">IF(B264&gt;0,(1+(E264/B264))^(1/($C$6-$B$6))-1,0)</f>
        <v>1.996505105204105E-2</v>
      </c>
    </row>
    <row r="265" spans="1:7" x14ac:dyDescent="0.3">
      <c r="A265" t="str">
        <f t="shared" si="164"/>
        <v>All occupations</v>
      </c>
      <c r="B265" s="11">
        <f>SUM(B239:B264)</f>
        <v>3433.3407975165819</v>
      </c>
      <c r="C265" s="11">
        <f t="shared" ref="C265:F265" si="181">SUM(C239:C264)</f>
        <v>2049.7111319639857</v>
      </c>
      <c r="D265" s="11">
        <f t="shared" si="181"/>
        <v>-1383.6296655525966</v>
      </c>
      <c r="E265" s="11">
        <f t="shared" si="181"/>
        <v>1066.7025551749459</v>
      </c>
      <c r="F265" s="11">
        <f t="shared" si="181"/>
        <v>-316.92711037765105</v>
      </c>
      <c r="G265" s="200">
        <f t="shared" si="168"/>
        <v>1.8200530331017761E-2</v>
      </c>
    </row>
    <row r="267" spans="1:7" ht="24.9" x14ac:dyDescent="0.3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40.174012245844281</v>
      </c>
      <c r="C268" s="11">
        <v>32.917747041718776</v>
      </c>
      <c r="D268" s="11">
        <f>C268-B268</f>
        <v>-7.2562652041255049</v>
      </c>
      <c r="E268" s="11">
        <v>11.077191653999796</v>
      </c>
      <c r="F268" s="11">
        <f>SUM(D268:E268)</f>
        <v>3.8209264498742908</v>
      </c>
      <c r="G268" s="200">
        <f>IF(B268&gt;0,(1+(E268/B268))^(1/($C$6-$B$6))-1,0)</f>
        <v>1.6367082486586693E-2</v>
      </c>
    </row>
    <row r="269" spans="1:7" x14ac:dyDescent="0.3">
      <c r="A269" t="str">
        <f t="shared" si="183"/>
        <v>12 Other managers and proprietors</v>
      </c>
      <c r="B269" s="11">
        <v>34.82619674150844</v>
      </c>
      <c r="C269" s="11">
        <v>42.831401419521015</v>
      </c>
      <c r="D269" s="11">
        <f t="shared" ref="D269:D284" si="184">C269-B269</f>
        <v>8.005204678012575</v>
      </c>
      <c r="E269" s="11">
        <v>15.098261744752165</v>
      </c>
      <c r="F269" s="11">
        <f t="shared" ref="F269:F276" si="185">SUM(D269:E269)</f>
        <v>23.10346642276474</v>
      </c>
      <c r="G269" s="200">
        <f t="shared" ref="G269:G271" si="186">IF(B269&gt;0,(1+(E269/B269))^(1/($C$6-$B$6))-1,0)</f>
        <v>2.4299956452298543E-2</v>
      </c>
    </row>
    <row r="270" spans="1:7" x14ac:dyDescent="0.3">
      <c r="A270" t="str">
        <f t="shared" si="183"/>
        <v>21 Science, research, engineering and technology professionals</v>
      </c>
      <c r="B270" s="11">
        <v>22.934972493432852</v>
      </c>
      <c r="C270" s="11">
        <v>28.607542056331976</v>
      </c>
      <c r="D270" s="11">
        <f t="shared" si="184"/>
        <v>5.672569562899124</v>
      </c>
      <c r="E270" s="11">
        <v>7.9232381242494458</v>
      </c>
      <c r="F270" s="11">
        <f t="shared" si="185"/>
        <v>13.59580768714857</v>
      </c>
      <c r="G270" s="200">
        <f t="shared" si="186"/>
        <v>1.9979635782042093E-2</v>
      </c>
    </row>
    <row r="271" spans="1:7" x14ac:dyDescent="0.3">
      <c r="A271" t="str">
        <f t="shared" si="183"/>
        <v>22 Health professionals</v>
      </c>
      <c r="B271" s="11">
        <v>7.9382762251514727</v>
      </c>
      <c r="C271" s="11">
        <v>13.675005685331598</v>
      </c>
      <c r="D271" s="11">
        <f t="shared" si="184"/>
        <v>5.7367294601801255</v>
      </c>
      <c r="E271" s="11">
        <v>4.378415247058034</v>
      </c>
      <c r="F271" s="11">
        <f t="shared" si="185"/>
        <v>10.115144707238159</v>
      </c>
      <c r="G271" s="200">
        <f t="shared" si="186"/>
        <v>2.9716939110361329E-2</v>
      </c>
    </row>
    <row r="272" spans="1:7" x14ac:dyDescent="0.3">
      <c r="A272" t="str">
        <f t="shared" si="183"/>
        <v>23 Teaching and other educational professionals</v>
      </c>
      <c r="B272" s="11">
        <v>7.8609849226766393</v>
      </c>
      <c r="C272" s="11">
        <v>8.3258341424676381</v>
      </c>
      <c r="D272" s="11">
        <f t="shared" si="184"/>
        <v>0.4648492197909988</v>
      </c>
      <c r="E272" s="11">
        <v>3.3081873671070361</v>
      </c>
      <c r="F272" s="11">
        <f t="shared" si="185"/>
        <v>3.7730365868980349</v>
      </c>
      <c r="G272" s="200">
        <f>IF(B272&gt;0,(1+(E272/B272))^(1/($C$6-$B$6))-1,0)</f>
        <v>2.3692689318906668E-2</v>
      </c>
    </row>
    <row r="273" spans="1:7" x14ac:dyDescent="0.3">
      <c r="A273" t="str">
        <f t="shared" si="183"/>
        <v>24 Business, media and public service professionals</v>
      </c>
      <c r="B273" s="11">
        <v>25.725769443741019</v>
      </c>
      <c r="C273" s="11">
        <v>26.960890051953786</v>
      </c>
      <c r="D273" s="11">
        <f t="shared" si="184"/>
        <v>1.2351206082127675</v>
      </c>
      <c r="E273" s="11">
        <v>9.2503592058478148</v>
      </c>
      <c r="F273" s="11">
        <f t="shared" si="185"/>
        <v>10.485479814060582</v>
      </c>
      <c r="G273" s="200">
        <f t="shared" ref="G273" si="187">IF(B273&gt;0,(1+(E273/B273))^(1/($C$6-$B$6))-1,0)</f>
        <v>2.068928965920569E-2</v>
      </c>
    </row>
    <row r="274" spans="1:7" x14ac:dyDescent="0.3">
      <c r="A274" t="str">
        <f t="shared" si="183"/>
        <v>31 Science, engineering and technology associate professionals</v>
      </c>
      <c r="B274" s="11">
        <v>13.981848663581189</v>
      </c>
      <c r="C274" s="11">
        <v>19.528876169776737</v>
      </c>
      <c r="D274" s="11">
        <f t="shared" si="184"/>
        <v>5.5470275061955476</v>
      </c>
      <c r="E274" s="11">
        <v>6.0343949277394477</v>
      </c>
      <c r="F274" s="11">
        <f t="shared" si="185"/>
        <v>11.581422433934996</v>
      </c>
      <c r="G274" s="200">
        <f>IF(B274&gt;0,(1+(E274/B274))^(1/($C$6-$B$6))-1,0)</f>
        <v>2.4207296318571769E-2</v>
      </c>
    </row>
    <row r="275" spans="1:7" x14ac:dyDescent="0.3">
      <c r="A275" t="str">
        <f t="shared" si="183"/>
        <v>32 Health and social care associate professionals</v>
      </c>
      <c r="B275" s="11">
        <v>4.3372665579626002</v>
      </c>
      <c r="C275" s="11">
        <v>6.3148770194129282</v>
      </c>
      <c r="D275" s="11">
        <f t="shared" si="184"/>
        <v>1.977610461450328</v>
      </c>
      <c r="E275" s="11">
        <v>2.1257451280331914</v>
      </c>
      <c r="F275" s="11">
        <f t="shared" si="185"/>
        <v>4.1033555894835194</v>
      </c>
      <c r="G275" s="200">
        <f t="shared" ref="G275:G292" si="188">IF(B275&gt;0,(1+(E275/B275))^(1/($C$6-$B$6))-1,0)</f>
        <v>2.69467429332515E-2</v>
      </c>
    </row>
    <row r="276" spans="1:7" x14ac:dyDescent="0.3">
      <c r="A276" t="str">
        <f t="shared" si="183"/>
        <v>33 Protective service occupations</v>
      </c>
      <c r="B276" s="11">
        <v>5.0484682257796267</v>
      </c>
      <c r="C276" s="11">
        <v>3.6295564094389037</v>
      </c>
      <c r="D276" s="11">
        <f t="shared" si="184"/>
        <v>-1.4189118163407231</v>
      </c>
      <c r="E276" s="11">
        <v>0.90572672617177963</v>
      </c>
      <c r="F276" s="11">
        <f t="shared" si="185"/>
        <v>-0.51318509016894343</v>
      </c>
      <c r="G276" s="200">
        <f t="shared" si="188"/>
        <v>1.1061472613708823E-2</v>
      </c>
    </row>
    <row r="277" spans="1:7" x14ac:dyDescent="0.3">
      <c r="A277" t="str">
        <f t="shared" si="183"/>
        <v>34 Culture, media and sports occupations</v>
      </c>
      <c r="B277" s="11">
        <v>12.314698223340155</v>
      </c>
      <c r="C277" s="11">
        <v>10.911601650824998</v>
      </c>
      <c r="D277" s="11">
        <f t="shared" si="184"/>
        <v>-1.4030965725151567</v>
      </c>
      <c r="E277" s="11">
        <v>3.7100399671829121</v>
      </c>
      <c r="F277" s="11">
        <f t="shared" ref="F277:F278" si="189">SUM(D277:E277)</f>
        <v>2.3069433946677553</v>
      </c>
      <c r="G277" s="200">
        <f t="shared" si="188"/>
        <v>1.7711021778080038E-2</v>
      </c>
    </row>
    <row r="278" spans="1:7" x14ac:dyDescent="0.3">
      <c r="A278" t="str">
        <f t="shared" si="183"/>
        <v>35 Business and public service associate professionals</v>
      </c>
      <c r="B278" s="11">
        <v>34.274402098872038</v>
      </c>
      <c r="C278" s="11">
        <v>31.516048514610709</v>
      </c>
      <c r="D278" s="11">
        <f t="shared" si="184"/>
        <v>-2.7583535842613287</v>
      </c>
      <c r="E278" s="11">
        <v>9.7844496232877933</v>
      </c>
      <c r="F278" s="11">
        <f t="shared" si="189"/>
        <v>7.0260960390264646</v>
      </c>
      <c r="G278" s="200">
        <f t="shared" si="188"/>
        <v>1.6882763085238617E-2</v>
      </c>
    </row>
    <row r="279" spans="1:7" x14ac:dyDescent="0.3">
      <c r="A279" t="str">
        <f t="shared" si="183"/>
        <v>41 Administrative occupations</v>
      </c>
      <c r="B279" s="11">
        <v>69.829013776449131</v>
      </c>
      <c r="C279" s="11">
        <v>42.637464129293022</v>
      </c>
      <c r="D279" s="11">
        <f t="shared" si="184"/>
        <v>-27.191549647156108</v>
      </c>
      <c r="E279" s="11">
        <v>16.128540942472551</v>
      </c>
      <c r="F279" s="11">
        <f t="shared" ref="F279:F282" si="190">SUM(D279:E279)</f>
        <v>-11.063008704683558</v>
      </c>
      <c r="G279" s="200">
        <f t="shared" si="188"/>
        <v>1.3950007892491234E-2</v>
      </c>
    </row>
    <row r="280" spans="1:7" x14ac:dyDescent="0.3">
      <c r="A280" t="str">
        <f t="shared" si="183"/>
        <v>42 Secretarial and related occupations</v>
      </c>
      <c r="B280" s="11">
        <v>29.437301993053783</v>
      </c>
      <c r="C280" s="11">
        <v>25.882908653817541</v>
      </c>
      <c r="D280" s="11">
        <f t="shared" si="184"/>
        <v>-3.5543933392362419</v>
      </c>
      <c r="E280" s="11">
        <v>11.660903882265389</v>
      </c>
      <c r="F280" s="11">
        <f t="shared" si="190"/>
        <v>8.1065105430291471</v>
      </c>
      <c r="G280" s="200">
        <f t="shared" si="188"/>
        <v>2.2496093270482964E-2</v>
      </c>
    </row>
    <row r="281" spans="1:7" x14ac:dyDescent="0.3">
      <c r="A281" t="str">
        <f t="shared" si="183"/>
        <v>51 Skilled agricultural and related trades</v>
      </c>
      <c r="B281" s="11">
        <v>30.97588933350902</v>
      </c>
      <c r="C281" s="11">
        <v>15.911691780510642</v>
      </c>
      <c r="D281" s="11">
        <f t="shared" si="184"/>
        <v>-15.064197552998378</v>
      </c>
      <c r="E281" s="11">
        <v>8.9006519958875394</v>
      </c>
      <c r="F281" s="11">
        <f t="shared" si="190"/>
        <v>-6.1635455571108384</v>
      </c>
      <c r="G281" s="200">
        <f t="shared" si="188"/>
        <v>1.6981173467229382E-2</v>
      </c>
    </row>
    <row r="282" spans="1:7" x14ac:dyDescent="0.3">
      <c r="A282" t="str">
        <f t="shared" si="183"/>
        <v>52 Skilled metal, electrical and electronic trades</v>
      </c>
      <c r="B282" s="11">
        <v>40.55791816394801</v>
      </c>
      <c r="C282" s="11">
        <v>24.071030902106777</v>
      </c>
      <c r="D282" s="11">
        <f t="shared" si="184"/>
        <v>-16.486887261841233</v>
      </c>
      <c r="E282" s="11">
        <v>10.997147007631286</v>
      </c>
      <c r="F282" s="11">
        <f t="shared" si="190"/>
        <v>-5.4897402542099467</v>
      </c>
      <c r="G282" s="200">
        <f t="shared" si="188"/>
        <v>1.6123227620152614E-2</v>
      </c>
    </row>
    <row r="283" spans="1:7" x14ac:dyDescent="0.3">
      <c r="A283" t="str">
        <f t="shared" si="183"/>
        <v>53 Skilled construction and building trades</v>
      </c>
      <c r="B283" s="11">
        <v>56.217210631349481</v>
      </c>
      <c r="C283" s="11">
        <v>10.650783327130778</v>
      </c>
      <c r="D283" s="11">
        <f t="shared" si="184"/>
        <v>-45.566427304218706</v>
      </c>
      <c r="E283" s="11">
        <v>9.1047438062390249</v>
      </c>
      <c r="F283" s="11">
        <f t="shared" ref="F283" si="191">SUM(D283:E283)</f>
        <v>-36.461683497979678</v>
      </c>
      <c r="G283" s="200">
        <f t="shared" si="188"/>
        <v>1.0057253594871085E-2</v>
      </c>
    </row>
    <row r="284" spans="1:7" x14ac:dyDescent="0.3">
      <c r="A284" t="str">
        <f t="shared" si="183"/>
        <v>54 Textiles, printing and other skilled trades</v>
      </c>
      <c r="B284" s="11">
        <v>45.574384009016214</v>
      </c>
      <c r="C284" s="11">
        <v>20.629605376349783</v>
      </c>
      <c r="D284" s="11">
        <f t="shared" si="184"/>
        <v>-24.944778632666431</v>
      </c>
      <c r="E284" s="11">
        <v>8.7986218149138598</v>
      </c>
      <c r="F284" s="11">
        <f t="shared" ref="F284" si="192">SUM(D284:E284)</f>
        <v>-16.146156817752569</v>
      </c>
      <c r="G284" s="200">
        <f t="shared" si="188"/>
        <v>1.183765089886446E-2</v>
      </c>
    </row>
    <row r="285" spans="1:7" x14ac:dyDescent="0.3">
      <c r="A285" t="str">
        <f t="shared" si="183"/>
        <v>61 Caring personal service occupations</v>
      </c>
      <c r="B285" s="11">
        <v>19.919974063410258</v>
      </c>
      <c r="C285" s="11">
        <v>21.7283752816972</v>
      </c>
      <c r="D285" s="11">
        <f>C285-B285</f>
        <v>1.8084012182869422</v>
      </c>
      <c r="E285" s="11">
        <v>6.066730996894278</v>
      </c>
      <c r="F285" s="11">
        <f>SUM(D285:E285)</f>
        <v>7.8751322151812202</v>
      </c>
      <c r="G285" s="200">
        <f t="shared" si="188"/>
        <v>1.7882145589747989E-2</v>
      </c>
    </row>
    <row r="286" spans="1:7" x14ac:dyDescent="0.3">
      <c r="A286" t="str">
        <f t="shared" si="183"/>
        <v>62 Leisure, travel and related personal service occupations</v>
      </c>
      <c r="B286" s="11">
        <v>32.260649716163037</v>
      </c>
      <c r="C286" s="11">
        <v>18.809186216092161</v>
      </c>
      <c r="D286" s="11">
        <f t="shared" ref="D286:D292" si="193">C286-B286</f>
        <v>-13.451463500070876</v>
      </c>
      <c r="E286" s="11">
        <v>7.6344765957892111</v>
      </c>
      <c r="F286" s="11">
        <f t="shared" ref="F286:F287" si="194">SUM(D286:E286)</f>
        <v>-5.8169869042816646</v>
      </c>
      <c r="G286" s="200">
        <f t="shared" si="188"/>
        <v>1.4261130427851931E-2</v>
      </c>
    </row>
    <row r="287" spans="1:7" x14ac:dyDescent="0.3">
      <c r="A287" t="str">
        <f t="shared" si="183"/>
        <v>63 Community and civil enforcement occupations</v>
      </c>
      <c r="B287" s="11">
        <v>1.788617686652638</v>
      </c>
      <c r="C287" s="11">
        <v>0.66073397212136031</v>
      </c>
      <c r="D287" s="11">
        <f t="shared" si="193"/>
        <v>-1.1278837145312777</v>
      </c>
      <c r="E287" s="11">
        <v>0.23381193709239484</v>
      </c>
      <c r="F287" s="11">
        <f t="shared" si="194"/>
        <v>-0.89407177743888289</v>
      </c>
      <c r="G287" s="200">
        <f t="shared" si="188"/>
        <v>8.2240662401826814E-3</v>
      </c>
    </row>
    <row r="288" spans="1:7" x14ac:dyDescent="0.3">
      <c r="A288" t="str">
        <f t="shared" si="183"/>
        <v>71 Sales occupations</v>
      </c>
      <c r="B288" s="11">
        <v>112.48762619804957</v>
      </c>
      <c r="C288" s="11">
        <v>48.206067158836476</v>
      </c>
      <c r="D288" s="11">
        <f t="shared" si="193"/>
        <v>-64.281559039213093</v>
      </c>
      <c r="E288" s="11">
        <v>19.135549284340058</v>
      </c>
      <c r="F288" s="11">
        <f t="shared" ref="F288:F289" si="195">SUM(D288:E288)</f>
        <v>-45.146009754873035</v>
      </c>
      <c r="G288" s="200">
        <f t="shared" si="188"/>
        <v>1.052836275554081E-2</v>
      </c>
    </row>
    <row r="289" spans="1:7" x14ac:dyDescent="0.3">
      <c r="A289" t="str">
        <f t="shared" si="183"/>
        <v>72 Customer service occupations</v>
      </c>
      <c r="B289" s="11">
        <v>20.446300974883034</v>
      </c>
      <c r="C289" s="11">
        <v>32.33362706268052</v>
      </c>
      <c r="D289" s="11">
        <f t="shared" si="193"/>
        <v>11.887326087797486</v>
      </c>
      <c r="E289" s="11">
        <v>9.4613945921541944</v>
      </c>
      <c r="F289" s="11">
        <f t="shared" si="195"/>
        <v>21.348720679951683</v>
      </c>
      <c r="G289" s="200">
        <f t="shared" si="188"/>
        <v>2.5678408861545376E-2</v>
      </c>
    </row>
    <row r="290" spans="1:7" x14ac:dyDescent="0.3">
      <c r="A290" t="str">
        <f t="shared" si="183"/>
        <v>81 Process, plant and machine operatives</v>
      </c>
      <c r="B290" s="11">
        <v>58.671951906831424</v>
      </c>
      <c r="C290" s="11">
        <v>15.758752644617079</v>
      </c>
      <c r="D290" s="11">
        <f t="shared" si="193"/>
        <v>-42.913199262214349</v>
      </c>
      <c r="E290" s="11">
        <v>7.814172057993563</v>
      </c>
      <c r="F290" s="11">
        <f t="shared" ref="F290:F291" si="196">SUM(D290:E290)</f>
        <v>-35.099027204220789</v>
      </c>
      <c r="G290" s="200">
        <f t="shared" si="188"/>
        <v>8.3702679053734297E-3</v>
      </c>
    </row>
    <row r="291" spans="1:7" x14ac:dyDescent="0.3">
      <c r="A291" t="str">
        <f t="shared" si="183"/>
        <v>82 Transport and mobile machine drivers and operatives</v>
      </c>
      <c r="B291" s="11">
        <v>116.67664197955634</v>
      </c>
      <c r="C291" s="11">
        <v>55.58598753652587</v>
      </c>
      <c r="D291" s="11">
        <f t="shared" si="193"/>
        <v>-61.090654443030466</v>
      </c>
      <c r="E291" s="11">
        <v>33.806283780971697</v>
      </c>
      <c r="F291" s="11">
        <f t="shared" si="196"/>
        <v>-27.28437066205877</v>
      </c>
      <c r="G291" s="200">
        <f t="shared" si="188"/>
        <v>1.71075708509143E-2</v>
      </c>
    </row>
    <row r="292" spans="1:7" x14ac:dyDescent="0.3">
      <c r="A292" t="str">
        <f t="shared" si="183"/>
        <v>91 Elementary trades and related occupations</v>
      </c>
      <c r="B292" s="11">
        <v>56.955761840562467</v>
      </c>
      <c r="C292" s="11">
        <v>29.527203561163361</v>
      </c>
      <c r="D292" s="11">
        <f t="shared" si="193"/>
        <v>-27.428558279399105</v>
      </c>
      <c r="E292" s="11">
        <v>11.797798497085694</v>
      </c>
      <c r="F292" s="11">
        <f t="shared" ref="F292" si="197">SUM(D292:E292)</f>
        <v>-15.630759782313412</v>
      </c>
      <c r="G292" s="200">
        <f t="shared" si="188"/>
        <v>1.2629329046002891E-2</v>
      </c>
    </row>
    <row r="293" spans="1:7" x14ac:dyDescent="0.3">
      <c r="A293" t="str">
        <f t="shared" si="183"/>
        <v>92 Elementary administration and service occupations</v>
      </c>
      <c r="B293" s="11">
        <v>238.08358981535221</v>
      </c>
      <c r="C293" s="11">
        <v>106.42643757342684</v>
      </c>
      <c r="D293" s="11">
        <f t="shared" ref="D293" si="198">C293-B293</f>
        <v>-131.65715224192536</v>
      </c>
      <c r="E293" s="11">
        <v>42.574257551663393</v>
      </c>
      <c r="F293" s="11">
        <f t="shared" ref="F293" si="199">SUM(D293:E293)</f>
        <v>-89.082894690261966</v>
      </c>
      <c r="G293" s="200">
        <f>IF(B293&gt;0,(1+(E293/B293))^(1/($C$6-$B$6))-1,0)</f>
        <v>1.1027996467312784E-2</v>
      </c>
    </row>
    <row r="294" spans="1:7" x14ac:dyDescent="0.3">
      <c r="A294" s="23" t="str">
        <f t="shared" si="183"/>
        <v>All occupations</v>
      </c>
      <c r="B294" s="33">
        <f>SUM(B268:B293)</f>
        <v>1139.2997279306769</v>
      </c>
      <c r="C294" s="33">
        <f>SUM(C268:C293)</f>
        <v>694.03923533775844</v>
      </c>
      <c r="D294" s="33">
        <f>SUM(D268:D293)</f>
        <v>-445.26049259291847</v>
      </c>
      <c r="E294" s="33">
        <f>SUM(E268:E293)</f>
        <v>277.71109445882354</v>
      </c>
      <c r="F294" s="33">
        <f>SUM(F268:F293)</f>
        <v>-167.54939813409487</v>
      </c>
      <c r="G294" s="234">
        <f>IF(B294&gt;0,(1+(E294/B294))^(1/($C$6-$B$6))-1,0)</f>
        <v>1.4648641498571813E-2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45" x14ac:dyDescent="0.3"/>
  <cols>
    <col min="1" max="14" width="9.15234375" style="80"/>
    <col min="15" max="15" width="44.15234375" customWidth="1"/>
    <col min="16" max="17" width="16.84375" customWidth="1"/>
  </cols>
  <sheetData>
    <row r="1" spans="1:17" ht="15.45" x14ac:dyDescent="0.4">
      <c r="A1" s="79" t="str">
        <f>CONCATENATE("Replacement Demand Figure 1  Replacement Demand by Occupation Group (SOC 2020), ",P4,", ",Info!B5)</f>
        <v>Replacement Demand Figure 1  Replacement Demand by Occupation Group (SOC 2020), 2020-2035, England</v>
      </c>
    </row>
    <row r="2" spans="1:17" x14ac:dyDescent="0.3">
      <c r="A2" s="362" t="s">
        <v>536</v>
      </c>
    </row>
    <row r="3" spans="1:17" x14ac:dyDescent="0.3">
      <c r="O3" s="45" t="s">
        <v>426</v>
      </c>
    </row>
    <row r="4" spans="1:17" x14ac:dyDescent="0.3">
      <c r="P4" s="15" t="str">
        <f>'Occ T1'!H4</f>
        <v>2020-2035</v>
      </c>
    </row>
    <row r="5" spans="1:17" x14ac:dyDescent="0.3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3">
      <c r="P6" s="11"/>
      <c r="Q6" s="11"/>
    </row>
    <row r="7" spans="1:17" x14ac:dyDescent="0.3">
      <c r="O7" t="str">
        <f>name!E12</f>
        <v>Elementary occupations</v>
      </c>
      <c r="P7" s="11">
        <f>'Occ T1'!H16</f>
        <v>-94.410725904691844</v>
      </c>
      <c r="Q7" s="11">
        <f>'Occ T1'!J16</f>
        <v>1325.665331434858</v>
      </c>
    </row>
    <row r="8" spans="1:17" x14ac:dyDescent="0.3">
      <c r="O8" t="str">
        <f>name!E11</f>
        <v>Process, plant and machine operatives</v>
      </c>
      <c r="P8" s="11">
        <f>'Occ T1'!H15</f>
        <v>189.94972615791971</v>
      </c>
      <c r="Q8" s="11">
        <f>'Occ T1'!J15</f>
        <v>1064.9287734529767</v>
      </c>
    </row>
    <row r="9" spans="1:17" x14ac:dyDescent="0.3">
      <c r="O9" t="str">
        <f>name!E10</f>
        <v>Sales and customer service occupations</v>
      </c>
      <c r="P9" s="11">
        <f>'Occ T1'!H14</f>
        <v>26.462005163614322</v>
      </c>
      <c r="Q9" s="11">
        <f>'Occ T1'!J14</f>
        <v>1118.9672606861279</v>
      </c>
    </row>
    <row r="10" spans="1:17" x14ac:dyDescent="0.3">
      <c r="O10" t="str">
        <f>name!E9</f>
        <v>Caring, leisure and other service occupations</v>
      </c>
      <c r="P10" s="11">
        <f>'Occ T1'!H13</f>
        <v>420.92727227523346</v>
      </c>
      <c r="Q10" s="11">
        <f>'Occ T1'!J13</f>
        <v>2022.3299900043323</v>
      </c>
    </row>
    <row r="11" spans="1:17" x14ac:dyDescent="0.3">
      <c r="O11" t="str">
        <f>name!E8</f>
        <v>Skilled trades occupations</v>
      </c>
      <c r="P11" s="11">
        <f>'Occ T1'!H12</f>
        <v>-16.140021045368485</v>
      </c>
      <c r="Q11" s="11">
        <f>'Occ T1'!J12</f>
        <v>1061.8383062533626</v>
      </c>
    </row>
    <row r="12" spans="1:17" x14ac:dyDescent="0.3">
      <c r="O12" t="str">
        <f>name!E7</f>
        <v>Administrative and secretarial occupations</v>
      </c>
      <c r="P12" s="11">
        <f>'Occ T1'!H11</f>
        <v>-426.90828159149214</v>
      </c>
      <c r="Q12" s="11">
        <f>'Occ T1'!J11</f>
        <v>1038.648258084098</v>
      </c>
    </row>
    <row r="13" spans="1:17" x14ac:dyDescent="0.3">
      <c r="O13" t="str">
        <f>name!E6</f>
        <v>Associate professional occupations</v>
      </c>
      <c r="P13" s="11">
        <f>'Occ T1'!H10</f>
        <v>241.55556151393557</v>
      </c>
      <c r="Q13" s="11">
        <f>'Occ T1'!J10</f>
        <v>2172.4041441592885</v>
      </c>
    </row>
    <row r="14" spans="1:17" x14ac:dyDescent="0.3">
      <c r="O14" t="str">
        <f>name!E5</f>
        <v>Professional occupations</v>
      </c>
      <c r="P14" s="11">
        <f>'Occ T1'!H9</f>
        <v>1369.775822657648</v>
      </c>
      <c r="Q14" s="11">
        <f>'Occ T1'!J9</f>
        <v>5023.418398209451</v>
      </c>
    </row>
    <row r="15" spans="1:17" x14ac:dyDescent="0.3">
      <c r="O15" t="str">
        <f>name!E4</f>
        <v>Managers, directors and senior officials</v>
      </c>
      <c r="P15" s="11">
        <f>'Occ T1'!H8</f>
        <v>499.19864077708098</v>
      </c>
      <c r="Q15" s="11">
        <f>'Occ T1'!J8</f>
        <v>2370.3324647674985</v>
      </c>
    </row>
    <row r="34" spans="1:17" ht="15.45" x14ac:dyDescent="0.4">
      <c r="A34" s="79" t="str">
        <f>CONCATENATE("Replacement Demand Figure 1.1  Replacement Demand by Occupation (SOC 2020), ",P35,", ",Info!B5)</f>
        <v>Replacement Demand Figure 1.1  Replacement Demand by Occupation (SOC 2020), 2020-2035, England</v>
      </c>
      <c r="O34" s="45" t="s">
        <v>426</v>
      </c>
    </row>
    <row r="35" spans="1:17" x14ac:dyDescent="0.3">
      <c r="P35" s="15" t="str">
        <f>'Occ T1'!H4</f>
        <v>2020-2035</v>
      </c>
    </row>
    <row r="36" spans="1:17" x14ac:dyDescent="0.3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3">
      <c r="O37" s="10" t="str">
        <f>name!D4</f>
        <v>11 Corporate managers and directors</v>
      </c>
      <c r="P37" s="11">
        <f>'Occ T2'!H8</f>
        <v>66.830831260384002</v>
      </c>
      <c r="Q37" s="11">
        <f>'Occ T2'!J8</f>
        <v>1216.6399604225012</v>
      </c>
    </row>
    <row r="38" spans="1:17" x14ac:dyDescent="0.3">
      <c r="O38" s="10" t="str">
        <f>name!D5</f>
        <v>12 Other managers and proprietors</v>
      </c>
      <c r="P38" s="11">
        <f>'Occ T2'!H9</f>
        <v>432.36780951669675</v>
      </c>
      <c r="Q38" s="11">
        <f>'Occ T2'!J9</f>
        <v>1153.6925043449971</v>
      </c>
    </row>
    <row r="39" spans="1:17" x14ac:dyDescent="0.3">
      <c r="O39" s="10" t="str">
        <f>name!D6</f>
        <v>21 Science, research, engineering and technology professionals</v>
      </c>
      <c r="P39" s="11">
        <f>'Occ T2'!H10</f>
        <v>342.43536345912639</v>
      </c>
      <c r="Q39" s="11">
        <f>'Occ T2'!J10</f>
        <v>1124.9309494692022</v>
      </c>
    </row>
    <row r="40" spans="1:17" x14ac:dyDescent="0.3">
      <c r="O40" s="10" t="str">
        <f>name!D7</f>
        <v>22 Health professionals</v>
      </c>
      <c r="P40" s="11">
        <f>'Occ T2'!H11</f>
        <v>234.69634350282377</v>
      </c>
      <c r="Q40" s="11">
        <f>'Occ T2'!J11</f>
        <v>1025.3980036686983</v>
      </c>
    </row>
    <row r="41" spans="1:17" x14ac:dyDescent="0.3">
      <c r="O41" s="10" t="str">
        <f>name!D8</f>
        <v>23 Teaching and other educational professionals</v>
      </c>
      <c r="P41" s="11">
        <f>'Occ T2'!H12</f>
        <v>198.83493812972642</v>
      </c>
      <c r="Q41" s="11">
        <f>'Occ T2'!J12</f>
        <v>1013.1844596127014</v>
      </c>
    </row>
    <row r="42" spans="1:17" x14ac:dyDescent="0.3">
      <c r="O42" s="10" t="str">
        <f>name!D9</f>
        <v>24 Business, media and public service professionals</v>
      </c>
      <c r="P42" s="11">
        <f>'Occ T2'!H13</f>
        <v>593.80917756597091</v>
      </c>
      <c r="Q42" s="11">
        <f>'Occ T2'!J13</f>
        <v>1859.9049854588486</v>
      </c>
    </row>
    <row r="43" spans="1:17" x14ac:dyDescent="0.3">
      <c r="O43" s="10" t="str">
        <f>name!D10</f>
        <v>31 Science, engineering and technology associate professionals</v>
      </c>
      <c r="P43" s="11">
        <f>'Occ T2'!H14</f>
        <v>-30.309211038347598</v>
      </c>
      <c r="Q43" s="11">
        <f>'Occ T2'!J14</f>
        <v>192.78953375619321</v>
      </c>
    </row>
    <row r="44" spans="1:17" x14ac:dyDescent="0.3">
      <c r="O44" s="10" t="str">
        <f>name!D11</f>
        <v>32 Health and social care associate professionals</v>
      </c>
      <c r="P44" s="11">
        <f>'Occ T2'!H15</f>
        <v>63.260756047701989</v>
      </c>
      <c r="Q44" s="11">
        <f>'Occ T2'!J15</f>
        <v>402.76858438180039</v>
      </c>
    </row>
    <row r="45" spans="1:17" x14ac:dyDescent="0.3">
      <c r="O45" s="10" t="str">
        <f>name!D12</f>
        <v>33 Protective service occupations</v>
      </c>
      <c r="P45" s="11">
        <f>'Occ T2'!H16</f>
        <v>120.45198686711041</v>
      </c>
      <c r="Q45" s="11">
        <f>'Occ T2'!J16</f>
        <v>257.32462988748432</v>
      </c>
    </row>
    <row r="46" spans="1:17" x14ac:dyDescent="0.3">
      <c r="O46" s="10" t="str">
        <f>name!D13</f>
        <v>34 Culture, media and sports occupations</v>
      </c>
      <c r="P46" s="11">
        <f>'Occ T2'!H17</f>
        <v>67.774691296335163</v>
      </c>
      <c r="Q46" s="11">
        <f>'Occ T2'!J17</f>
        <v>393.68865340528612</v>
      </c>
    </row>
    <row r="47" spans="1:17" x14ac:dyDescent="0.3">
      <c r="O47" s="10" t="str">
        <f>name!D14</f>
        <v>35 Business and public service associate professionals</v>
      </c>
      <c r="P47" s="11">
        <f>'Occ T2'!H18</f>
        <v>20.377338341135783</v>
      </c>
      <c r="Q47" s="11">
        <f>'Occ T2'!J18</f>
        <v>925.83274272852475</v>
      </c>
    </row>
    <row r="48" spans="1:17" x14ac:dyDescent="0.3">
      <c r="O48" s="10" t="str">
        <f>name!D15</f>
        <v>41 Administrative occupations</v>
      </c>
      <c r="P48" s="11">
        <f>'Occ T2'!H19</f>
        <v>-327.73892518532239</v>
      </c>
      <c r="Q48" s="11">
        <f>'Occ T2'!J19</f>
        <v>843.56420783376234</v>
      </c>
    </row>
    <row r="49" spans="15:17" x14ac:dyDescent="0.3">
      <c r="O49" s="10" t="str">
        <f>name!D16</f>
        <v>42 Secretarial and related occupations</v>
      </c>
      <c r="P49" s="11">
        <f>'Occ T2'!H20</f>
        <v>-99.169356406169413</v>
      </c>
      <c r="Q49" s="11">
        <f>'Occ T2'!J20</f>
        <v>195.08405025033596</v>
      </c>
    </row>
    <row r="50" spans="15:17" x14ac:dyDescent="0.3">
      <c r="O50" s="10" t="str">
        <f>name!D17</f>
        <v>51 Skilled agricultural and related trades</v>
      </c>
      <c r="P50" s="11">
        <f>'Occ T2'!H21</f>
        <v>38.097449706564475</v>
      </c>
      <c r="Q50" s="11">
        <f>'Occ T2'!J21</f>
        <v>200.00829218620655</v>
      </c>
    </row>
    <row r="51" spans="15:17" x14ac:dyDescent="0.3">
      <c r="O51" s="10" t="str">
        <f>name!D18</f>
        <v>52 Skilled metal, electrical and electronic trades</v>
      </c>
      <c r="P51" s="11">
        <f>'Occ T2'!H22</f>
        <v>-53.679452307727388</v>
      </c>
      <c r="Q51" s="11">
        <f>'Occ T2'!J22</f>
        <v>293.15181715438905</v>
      </c>
    </row>
    <row r="52" spans="15:17" x14ac:dyDescent="0.3">
      <c r="O52" s="10" t="str">
        <f>name!D19</f>
        <v>53 Skilled construction and building trades</v>
      </c>
      <c r="P52" s="11">
        <f>'Occ T2'!H23</f>
        <v>-4.3436953863813415</v>
      </c>
      <c r="Q52" s="11">
        <f>'Occ T2'!J23</f>
        <v>328.60976059916732</v>
      </c>
    </row>
    <row r="53" spans="15:17" x14ac:dyDescent="0.3">
      <c r="O53" s="10" t="str">
        <f>name!D20</f>
        <v>54 Textiles, printing and other skilled trades</v>
      </c>
      <c r="P53" s="11">
        <f>'Occ T2'!H24</f>
        <v>3.7856769421754279</v>
      </c>
      <c r="Q53" s="11">
        <f>'Occ T2'!J24</f>
        <v>240.06843631359928</v>
      </c>
    </row>
    <row r="54" spans="15:17" x14ac:dyDescent="0.3">
      <c r="O54" s="10" t="str">
        <f>name!D21</f>
        <v>61 Caring personal service occupations</v>
      </c>
      <c r="P54" s="11">
        <f>'Occ T2'!H25</f>
        <v>388.26730827253959</v>
      </c>
      <c r="Q54" s="11">
        <f>'Occ T2'!J25</f>
        <v>1648.5315939037071</v>
      </c>
    </row>
    <row r="55" spans="15:17" x14ac:dyDescent="0.3">
      <c r="O55" s="10" t="str">
        <f>name!D22</f>
        <v>62 Leisure, travel and related personal service occupations</v>
      </c>
      <c r="P55" s="11">
        <f>'Occ T2'!H26</f>
        <v>36.582939945507633</v>
      </c>
      <c r="Q55" s="11">
        <f>'Occ T2'!J26</f>
        <v>364.60317821677495</v>
      </c>
    </row>
    <row r="56" spans="15:17" x14ac:dyDescent="0.3">
      <c r="O56" s="10" t="str">
        <f>name!D23</f>
        <v>63 Community and civil enforcement occupations</v>
      </c>
      <c r="P56" s="11">
        <f>'Occ T2'!H27</f>
        <v>-3.9229759428137037</v>
      </c>
      <c r="Q56" s="11">
        <f>'Occ T2'!J27</f>
        <v>9.1952178838503063</v>
      </c>
    </row>
    <row r="57" spans="15:17" x14ac:dyDescent="0.3">
      <c r="O57" s="10" t="str">
        <f>name!D24</f>
        <v>71 Sales occupations</v>
      </c>
      <c r="P57" s="11">
        <f>'Occ T2'!H28</f>
        <v>-213.45740286104524</v>
      </c>
      <c r="Q57" s="11">
        <f>'Occ T2'!J28</f>
        <v>572.27231525866409</v>
      </c>
    </row>
    <row r="58" spans="15:17" x14ac:dyDescent="0.3">
      <c r="O58" s="10" t="str">
        <f>name!D25</f>
        <v>72 Customer service occupations</v>
      </c>
      <c r="P58" s="11">
        <f>'Occ T2'!H29</f>
        <v>239.91940802465979</v>
      </c>
      <c r="Q58" s="11">
        <f>'Occ T2'!J29</f>
        <v>546.69494542746406</v>
      </c>
    </row>
    <row r="59" spans="15:17" x14ac:dyDescent="0.3">
      <c r="O59" s="10" t="str">
        <f>name!D26</f>
        <v>81 Process, plant and machine operatives</v>
      </c>
      <c r="P59" s="11">
        <f>'Occ T2'!H30</f>
        <v>109.10947651291474</v>
      </c>
      <c r="Q59" s="11">
        <f>'Occ T2'!J30</f>
        <v>389.4358637289655</v>
      </c>
    </row>
    <row r="60" spans="15:17" x14ac:dyDescent="0.3">
      <c r="O60" s="10" t="str">
        <f>name!D27</f>
        <v>82 Transport and mobile machine drivers and operatives</v>
      </c>
      <c r="P60" s="11">
        <f>'Occ T2'!H31</f>
        <v>80.84024964500486</v>
      </c>
      <c r="Q60" s="11">
        <f>'Occ T2'!J31</f>
        <v>675.49290972401116</v>
      </c>
    </row>
    <row r="61" spans="15:17" x14ac:dyDescent="0.3">
      <c r="O61" s="10" t="str">
        <f>name!D28</f>
        <v>91 Elementary trades and related occupations</v>
      </c>
      <c r="P61" s="11">
        <f>'Occ T2'!H32</f>
        <v>-76.129011452518796</v>
      </c>
      <c r="Q61" s="11">
        <f>'Occ T2'!J32</f>
        <v>50.009487991536588</v>
      </c>
    </row>
    <row r="62" spans="15:17" x14ac:dyDescent="0.3">
      <c r="O62" s="10" t="str">
        <f>name!D29</f>
        <v>92 Elementary administration and service occupations</v>
      </c>
      <c r="P62" s="11">
        <f>'Occ T2'!H33</f>
        <v>-18.281714452173219</v>
      </c>
      <c r="Q62" s="11">
        <f>'Occ T2'!J33</f>
        <v>1275.6558434433211</v>
      </c>
    </row>
    <row r="63" spans="15:17" x14ac:dyDescent="0.3">
      <c r="O63" s="10"/>
      <c r="P63" s="11"/>
      <c r="Q63" s="11"/>
    </row>
    <row r="64" spans="15:17" x14ac:dyDescent="0.3">
      <c r="O64" s="10" t="str">
        <f>name!D3</f>
        <v>All occupations</v>
      </c>
      <c r="P64" s="11">
        <f>'Occ T2'!H35</f>
        <v>2210.410000003867</v>
      </c>
      <c r="Q64" s="11">
        <f>'Occ T2'!J35</f>
        <v>17198.532927051991</v>
      </c>
    </row>
    <row r="65" spans="15:15" x14ac:dyDescent="0.3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5234375" defaultRowHeight="12.45" x14ac:dyDescent="0.3"/>
  <cols>
    <col min="1" max="1" width="37.53515625" style="13" customWidth="1"/>
    <col min="2" max="4" width="8.15234375" style="13" bestFit="1" customWidth="1"/>
    <col min="5" max="5" width="5.69140625" style="13" customWidth="1"/>
    <col min="6" max="8" width="5.69140625" style="13" bestFit="1" customWidth="1"/>
    <col min="9" max="9" width="5.69140625" style="13" customWidth="1"/>
    <col min="10" max="12" width="7.15234375" style="13" bestFit="1" customWidth="1"/>
    <col min="13" max="13" width="5.69140625" style="13" customWidth="1"/>
    <col min="14" max="16" width="7.15234375" style="13" bestFit="1" customWidth="1"/>
    <col min="17" max="17" width="5.84375" style="13" customWidth="1"/>
    <col min="18" max="20" width="7.15234375" style="13" bestFit="1" customWidth="1"/>
    <col min="21" max="21" width="5.69140625" style="13" customWidth="1"/>
    <col min="22" max="24" width="7.15234375" style="13" bestFit="1" customWidth="1"/>
    <col min="25" max="25" width="5.69140625" style="13" customWidth="1"/>
    <col min="26" max="28" width="7.15234375" style="13" bestFit="1" customWidth="1"/>
    <col min="29" max="29" width="5.69140625" style="13" customWidth="1"/>
    <col min="30" max="32" width="7.15234375" style="13" bestFit="1" customWidth="1"/>
    <col min="33" max="33" width="5.69140625" style="13" customWidth="1"/>
    <col min="34" max="36" width="7.15234375" style="13" bestFit="1" customWidth="1"/>
    <col min="37" max="37" width="5.69140625" style="13" customWidth="1"/>
    <col min="38" max="38" width="7.15234375" style="13" bestFit="1" customWidth="1"/>
    <col min="39" max="40" width="5.69140625" style="13" bestFit="1" customWidth="1"/>
    <col min="41" max="16384" width="9.15234375" style="13"/>
  </cols>
  <sheetData>
    <row r="1" spans="1:40" ht="15.45" x14ac:dyDescent="0.4">
      <c r="A1" s="18" t="str">
        <f>CONCATENATE("Basic Table 1  Employment by Industry Sector, Occupation Group and Qualification, ",B$5,"-",D$5,", ",Info!B5)</f>
        <v>Basic Table 1  Employment by Industry Sector, Occupation Group and Qualification, 2020-2035, England</v>
      </c>
    </row>
    <row r="2" spans="1:40" ht="12.75" customHeight="1" x14ac:dyDescent="0.3">
      <c r="A2" s="181" t="s">
        <v>540</v>
      </c>
    </row>
    <row r="3" spans="1:40" ht="12.75" customHeight="1" x14ac:dyDescent="0.4">
      <c r="A3" s="18"/>
      <c r="AN3" s="37" t="s">
        <v>35</v>
      </c>
    </row>
    <row r="4" spans="1:40" ht="24.75" customHeight="1" x14ac:dyDescent="0.3">
      <c r="A4" s="77"/>
      <c r="B4" s="380" t="str">
        <f>name!F3</f>
        <v>All qualifications</v>
      </c>
      <c r="C4" s="380"/>
      <c r="D4" s="380"/>
      <c r="E4" s="77"/>
      <c r="F4" s="381" t="str">
        <f>name!F4</f>
        <v>RQF8 Doctorate</v>
      </c>
      <c r="G4" s="381"/>
      <c r="H4" s="381"/>
      <c r="I4" s="77"/>
      <c r="J4" s="381" t="str">
        <f>name!F5</f>
        <v>RQF7 Other higher degree</v>
      </c>
      <c r="K4" s="381"/>
      <c r="L4" s="381"/>
      <c r="M4" s="77"/>
      <c r="N4" s="381" t="str">
        <f>name!F6</f>
        <v>RQF6 First degree</v>
      </c>
      <c r="O4" s="381"/>
      <c r="P4" s="381"/>
      <c r="Q4" s="77"/>
      <c r="R4" s="381" t="str">
        <f>name!F7</f>
        <v>RQF5 Foundation degree;Nursing;Teaching</v>
      </c>
      <c r="S4" s="381"/>
      <c r="T4" s="381"/>
      <c r="U4" s="77"/>
      <c r="V4" s="381" t="str">
        <f>name!F8</f>
        <v>RQF4 HE below degree level</v>
      </c>
      <c r="W4" s="381"/>
      <c r="X4" s="381"/>
      <c r="Y4" s="77"/>
      <c r="Z4" s="381" t="str">
        <f>name!F9</f>
        <v>RQF3 A level &amp; equivalent</v>
      </c>
      <c r="AA4" s="381"/>
      <c r="AB4" s="381"/>
      <c r="AC4" s="77"/>
      <c r="AD4" s="381" t="str">
        <f>name!F10</f>
        <v>RQF2 GCSE(A-C) &amp; equivalent</v>
      </c>
      <c r="AE4" s="381"/>
      <c r="AF4" s="381"/>
      <c r="AG4" s="77"/>
      <c r="AH4" s="381" t="str">
        <f>name!F11</f>
        <v>RQF1 GCSE(below grade C) &amp; equivalent</v>
      </c>
      <c r="AI4" s="381"/>
      <c r="AJ4" s="381"/>
      <c r="AK4" s="77"/>
      <c r="AL4" s="381" t="str">
        <f>name!F12</f>
        <v>No Qualification</v>
      </c>
      <c r="AM4" s="381"/>
      <c r="AN4" s="381"/>
    </row>
    <row r="5" spans="1:40" x14ac:dyDescent="0.3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3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3">
      <c r="A8" s="13" t="str">
        <f>name!E3</f>
        <v>All occupations</v>
      </c>
      <c r="B8" s="305">
        <f>SUM(B9:B17)</f>
        <v>29859.680999995027</v>
      </c>
      <c r="C8" s="305">
        <f>SUM(C9:C17)</f>
        <v>30754.748000010019</v>
      </c>
      <c r="D8" s="305">
        <f>SUM(D9:D17)</f>
        <v>32070.090999998913</v>
      </c>
      <c r="E8" s="304"/>
      <c r="F8" s="305">
        <f>SUM(F9:F17)</f>
        <v>522.64787196202735</v>
      </c>
      <c r="G8" s="305">
        <f>SUM(G9:G17)</f>
        <v>669.85441339156534</v>
      </c>
      <c r="H8" s="305">
        <f>SUM(H9:H17)</f>
        <v>934.29562779049581</v>
      </c>
      <c r="I8" s="304"/>
      <c r="J8" s="305">
        <f>SUM(J9:J17)</f>
        <v>3765.2895086273347</v>
      </c>
      <c r="K8" s="305">
        <f>SUM(K9:K17)</f>
        <v>4821.6227812757124</v>
      </c>
      <c r="L8" s="305">
        <f>SUM(L9:L17)</f>
        <v>6789.3769020925356</v>
      </c>
      <c r="M8" s="304"/>
      <c r="N8" s="305">
        <f>SUM(N9:N17)</f>
        <v>6391.7857047961988</v>
      </c>
      <c r="O8" s="305">
        <f>SUM(O9:O17)</f>
        <v>6786.3536701513312</v>
      </c>
      <c r="P8" s="305">
        <f>SUM(P9:P17)</f>
        <v>7600.0146035431071</v>
      </c>
      <c r="Q8" s="306"/>
      <c r="R8" s="305">
        <f>SUM(R9:R17)</f>
        <v>1705.9419206369141</v>
      </c>
      <c r="S8" s="305">
        <f>SUM(S9:S17)</f>
        <v>1703.5284462232426</v>
      </c>
      <c r="T8" s="305">
        <f>SUM(T9:T17)</f>
        <v>1868.8532961954379</v>
      </c>
      <c r="U8" s="306"/>
      <c r="V8" s="305">
        <f>SUM(V9:V17)</f>
        <v>1728.4186881347273</v>
      </c>
      <c r="W8" s="305">
        <f>SUM(W9:W17)</f>
        <v>1800.9127886998006</v>
      </c>
      <c r="X8" s="305">
        <f>SUM(X9:X17)</f>
        <v>2040.3810684286768</v>
      </c>
      <c r="Y8" s="306"/>
      <c r="Z8" s="305">
        <f>SUM(Z9:Z17)</f>
        <v>5842.7949099002681</v>
      </c>
      <c r="AA8" s="305">
        <f>SUM(AA9:AA17)</f>
        <v>5811.9310878058868</v>
      </c>
      <c r="AB8" s="305">
        <f>SUM(AB9:AB17)</f>
        <v>5820.8764372949227</v>
      </c>
      <c r="AC8" s="306"/>
      <c r="AD8" s="305">
        <f>SUM(AD9:AD17)</f>
        <v>5330.1618704902985</v>
      </c>
      <c r="AE8" s="305">
        <f>SUM(AE9:AE17)</f>
        <v>5134.446482014765</v>
      </c>
      <c r="AF8" s="305">
        <f>SUM(AF9:AF17)</f>
        <v>4272.5426973519861</v>
      </c>
      <c r="AG8" s="306"/>
      <c r="AH8" s="305">
        <f>SUM(AH9:AH17)</f>
        <v>3433.3407975165819</v>
      </c>
      <c r="AI8" s="305">
        <f>SUM(AI9:AI17)</f>
        <v>3089.2371506086911</v>
      </c>
      <c r="AJ8" s="305">
        <f>SUM(AJ9:AJ17)</f>
        <v>2049.7111319639862</v>
      </c>
      <c r="AK8" s="306"/>
      <c r="AL8" s="305">
        <f>SUM(AL9:AL17)</f>
        <v>1139.2997279306769</v>
      </c>
      <c r="AM8" s="305">
        <f>SUM(AM9:AM17)</f>
        <v>936.86117983903137</v>
      </c>
      <c r="AN8" s="305">
        <f>SUM(AN9:AN17)</f>
        <v>694.03923533775856</v>
      </c>
    </row>
    <row r="9" spans="1:40" x14ac:dyDescent="0.3">
      <c r="A9" s="13" t="str">
        <f>name!E4</f>
        <v>Managers, directors and senior officials</v>
      </c>
      <c r="B9" s="304">
        <f>SUM(B21,B33,B51,B63,B75,B93)</f>
        <v>3297.9630650025701</v>
      </c>
      <c r="C9" s="304">
        <f t="shared" ref="B9:D17" si="0">SUM(C21,C33,C51,C63,C75,C93)</f>
        <v>3401.6680129031379</v>
      </c>
      <c r="D9" s="304">
        <f t="shared" si="0"/>
        <v>3797.161705779662</v>
      </c>
      <c r="E9" s="304"/>
      <c r="F9" s="304">
        <f t="shared" ref="F9:H17" si="1">SUM(F21,F33,F51,F63,F75,F93)</f>
        <v>53.755259577401823</v>
      </c>
      <c r="G9" s="304">
        <f t="shared" si="1"/>
        <v>71.177731332581146</v>
      </c>
      <c r="H9" s="304">
        <f t="shared" si="1"/>
        <v>107.72287597138046</v>
      </c>
      <c r="I9" s="304"/>
      <c r="J9" s="304">
        <f t="shared" ref="J9:L17" si="2">SUM(J21,J33,J51,J63,J75,J93)</f>
        <v>456.98966812119409</v>
      </c>
      <c r="K9" s="304">
        <f t="shared" si="2"/>
        <v>585.58082008407519</v>
      </c>
      <c r="L9" s="304">
        <f t="shared" si="2"/>
        <v>872.82573080696216</v>
      </c>
      <c r="M9" s="304"/>
      <c r="N9" s="304">
        <f t="shared" ref="N9:P17" si="3">SUM(N21,N33,N51,N63,N75,N93)</f>
        <v>913.57381771470966</v>
      </c>
      <c r="O9" s="304">
        <f t="shared" si="3"/>
        <v>954.04912151511371</v>
      </c>
      <c r="P9" s="304">
        <f t="shared" si="3"/>
        <v>1096.9005902488761</v>
      </c>
      <c r="Q9" s="306"/>
      <c r="R9" s="304">
        <f t="shared" ref="R9:T9" si="4">SUM(R21,R33,R51,R63,R75,R93)</f>
        <v>192.84546427151102</v>
      </c>
      <c r="S9" s="304">
        <f t="shared" si="4"/>
        <v>196.00310396137488</v>
      </c>
      <c r="T9" s="304">
        <f t="shared" si="4"/>
        <v>222.09299382147864</v>
      </c>
      <c r="U9" s="306"/>
      <c r="V9" s="304">
        <f t="shared" ref="V9:X9" si="5">SUM(V21,V33,V51,V63,V75,V93)</f>
        <v>261.00619896447409</v>
      </c>
      <c r="W9" s="304">
        <f t="shared" si="5"/>
        <v>261.89247468062314</v>
      </c>
      <c r="X9" s="304">
        <f t="shared" si="5"/>
        <v>289.88364726281532</v>
      </c>
      <c r="Y9" s="306"/>
      <c r="Z9" s="304">
        <f t="shared" ref="Z9:AB9" si="6">SUM(Z21,Z33,Z51,Z63,Z75,Z93)</f>
        <v>567.27226337414527</v>
      </c>
      <c r="AA9" s="304">
        <f t="shared" si="6"/>
        <v>526.55370991421819</v>
      </c>
      <c r="AB9" s="304">
        <f t="shared" si="6"/>
        <v>545.27870911441414</v>
      </c>
      <c r="AC9" s="306"/>
      <c r="AD9" s="304">
        <f>SUM(AD21,AD33,AD51,AD63,AD75,AD93)</f>
        <v>458.70676761077641</v>
      </c>
      <c r="AE9" s="304">
        <f t="shared" ref="AE9:AF9" si="7">SUM(AE21,AE33,AE51,AE63,AE75,AE93)</f>
        <v>430.1129871383975</v>
      </c>
      <c r="AF9" s="304">
        <f t="shared" si="7"/>
        <v>359.6623815088933</v>
      </c>
      <c r="AG9" s="306"/>
      <c r="AH9" s="304">
        <f t="shared" ref="AH9:AJ9" si="8">SUM(AH21,AH33,AH51,AH63,AH75,AH93)</f>
        <v>318.81341638100554</v>
      </c>
      <c r="AI9" s="304">
        <f t="shared" si="8"/>
        <v>301.50398733637701</v>
      </c>
      <c r="AJ9" s="304">
        <f t="shared" si="8"/>
        <v>227.04562858360163</v>
      </c>
      <c r="AK9" s="306"/>
      <c r="AL9" s="304">
        <f t="shared" ref="AL9:AN9" si="9">SUM(AL21,AL33,AL51,AL63,AL75,AL93)</f>
        <v>75.000208987352764</v>
      </c>
      <c r="AM9" s="304">
        <f t="shared" si="9"/>
        <v>74.794076940376968</v>
      </c>
      <c r="AN9" s="304">
        <f t="shared" si="9"/>
        <v>75.749148461239812</v>
      </c>
    </row>
    <row r="10" spans="1:40" x14ac:dyDescent="0.3">
      <c r="A10" s="13" t="str">
        <f>name!E5</f>
        <v>Professional occupations</v>
      </c>
      <c r="B10" s="304">
        <f t="shared" si="0"/>
        <v>7042.9080467763542</v>
      </c>
      <c r="C10" s="304">
        <f t="shared" si="0"/>
        <v>7617.8402642532856</v>
      </c>
      <c r="D10" s="304">
        <f t="shared" si="0"/>
        <v>8412.6838694339986</v>
      </c>
      <c r="E10" s="304"/>
      <c r="F10" s="304">
        <f t="shared" si="1"/>
        <v>372.36659817873829</v>
      </c>
      <c r="G10" s="304">
        <f t="shared" si="1"/>
        <v>469.97954366157887</v>
      </c>
      <c r="H10" s="304">
        <f t="shared" si="1"/>
        <v>625.9073327083255</v>
      </c>
      <c r="I10" s="304"/>
      <c r="J10" s="304">
        <f t="shared" si="2"/>
        <v>2060.0490035581342</v>
      </c>
      <c r="K10" s="304">
        <f t="shared" si="2"/>
        <v>2584.3607205699291</v>
      </c>
      <c r="L10" s="304">
        <f t="shared" si="2"/>
        <v>3401.0506763709582</v>
      </c>
      <c r="M10" s="304"/>
      <c r="N10" s="304">
        <f t="shared" si="3"/>
        <v>2402.5944619809252</v>
      </c>
      <c r="O10" s="304">
        <f t="shared" si="3"/>
        <v>2464.1798396672734</v>
      </c>
      <c r="P10" s="304">
        <f t="shared" si="3"/>
        <v>2483.7266047455801</v>
      </c>
      <c r="Q10" s="306"/>
      <c r="R10" s="304">
        <f t="shared" ref="R10:T10" si="10">SUM(R22,R34,R52,R64,R76,R94)</f>
        <v>339.39667908214426</v>
      </c>
      <c r="S10" s="304">
        <f t="shared" si="10"/>
        <v>263.98230301006276</v>
      </c>
      <c r="T10" s="304">
        <f t="shared" si="10"/>
        <v>212.47400661667899</v>
      </c>
      <c r="U10" s="306"/>
      <c r="V10" s="304">
        <f t="shared" ref="V10:X10" si="11">SUM(V22,V34,V52,V64,V76,V94)</f>
        <v>349.42160220891287</v>
      </c>
      <c r="W10" s="304">
        <f t="shared" si="11"/>
        <v>348.25848270428742</v>
      </c>
      <c r="X10" s="304">
        <f t="shared" si="11"/>
        <v>358.85264617657577</v>
      </c>
      <c r="Y10" s="306"/>
      <c r="Z10" s="304">
        <f t="shared" ref="Z10:AB10" si="12">SUM(Z22,Z34,Z52,Z64,Z76,Z94)</f>
        <v>693.60988458354473</v>
      </c>
      <c r="AA10" s="304">
        <f t="shared" si="12"/>
        <v>690.91536429994335</v>
      </c>
      <c r="AB10" s="304">
        <f t="shared" si="12"/>
        <v>700.28949754943687</v>
      </c>
      <c r="AC10" s="306"/>
      <c r="AD10" s="304">
        <f t="shared" ref="AD10:AF10" si="13">SUM(AD22,AD34,AD52,AD64,AD76,AD94)</f>
        <v>470.10453900600567</v>
      </c>
      <c r="AE10" s="304">
        <f t="shared" si="13"/>
        <v>447.95276529645702</v>
      </c>
      <c r="AF10" s="304">
        <f t="shared" si="13"/>
        <v>367.90618471214026</v>
      </c>
      <c r="AG10" s="306"/>
      <c r="AH10" s="304">
        <f t="shared" ref="AH10:AJ10" si="14">SUM(AH22,AH34,AH52,AH64,AH76,AH94)</f>
        <v>290.90527509294657</v>
      </c>
      <c r="AI10" s="304">
        <f t="shared" si="14"/>
        <v>275.86170000306333</v>
      </c>
      <c r="AJ10" s="304">
        <f t="shared" si="14"/>
        <v>184.90764861821683</v>
      </c>
      <c r="AK10" s="306"/>
      <c r="AL10" s="304">
        <f t="shared" ref="AL10:AN10" si="15">SUM(AL22,AL34,AL52,AL64,AL76,AL94)</f>
        <v>64.460003085001972</v>
      </c>
      <c r="AM10" s="304">
        <f t="shared" si="15"/>
        <v>72.349545040690444</v>
      </c>
      <c r="AN10" s="304">
        <f t="shared" si="15"/>
        <v>77.569271936084974</v>
      </c>
    </row>
    <row r="11" spans="1:40" x14ac:dyDescent="0.3">
      <c r="A11" s="13" t="str">
        <f>name!E6</f>
        <v>Associate professional occupations</v>
      </c>
      <c r="B11" s="304">
        <f>SUM(B23,B35,B53,B65,B77,B95)</f>
        <v>4152.3256176523755</v>
      </c>
      <c r="C11" s="304">
        <f t="shared" si="0"/>
        <v>4085.2103165469425</v>
      </c>
      <c r="D11" s="304">
        <f>SUM(D23,D35,D53,D65,D77,D95)</f>
        <v>4393.8811791663084</v>
      </c>
      <c r="E11" s="304"/>
      <c r="F11" s="304">
        <f t="shared" si="1"/>
        <v>56.917491396431721</v>
      </c>
      <c r="G11" s="304">
        <f t="shared" si="1"/>
        <v>72.439482341046812</v>
      </c>
      <c r="H11" s="304">
        <f t="shared" si="1"/>
        <v>109.70213247644676</v>
      </c>
      <c r="I11" s="304"/>
      <c r="J11" s="304">
        <f t="shared" si="2"/>
        <v>644.13215839618624</v>
      </c>
      <c r="K11" s="304">
        <f t="shared" si="2"/>
        <v>796.66909513856592</v>
      </c>
      <c r="L11" s="304">
        <f t="shared" si="2"/>
        <v>1138.0679125805441</v>
      </c>
      <c r="M11" s="304"/>
      <c r="N11" s="304">
        <f t="shared" si="3"/>
        <v>1244.5024448695949</v>
      </c>
      <c r="O11" s="304">
        <f t="shared" si="3"/>
        <v>1244.7755419084897</v>
      </c>
      <c r="P11" s="304">
        <f t="shared" si="3"/>
        <v>1350.9025544303968</v>
      </c>
      <c r="Q11" s="306"/>
      <c r="R11" s="304">
        <f t="shared" ref="R11:T11" si="16">SUM(R23,R35,R53,R65,R77,R95)</f>
        <v>325.74764780457076</v>
      </c>
      <c r="S11" s="304">
        <f t="shared" si="16"/>
        <v>304.75311371076486</v>
      </c>
      <c r="T11" s="304">
        <f t="shared" si="16"/>
        <v>315.4344344086399</v>
      </c>
      <c r="U11" s="306"/>
      <c r="V11" s="304">
        <f t="shared" ref="V11:X11" si="17">SUM(V23,V35,V53,V65,V77,V95)</f>
        <v>278.39185697542484</v>
      </c>
      <c r="W11" s="304">
        <f t="shared" si="17"/>
        <v>257.39186830314401</v>
      </c>
      <c r="X11" s="304">
        <f t="shared" si="17"/>
        <v>267.27751672151112</v>
      </c>
      <c r="Y11" s="306"/>
      <c r="Z11" s="304">
        <f t="shared" ref="Z11:AB11" si="18">SUM(Z23,Z35,Z53,Z65,Z77,Z95)</f>
        <v>697.21620182616698</v>
      </c>
      <c r="AA11" s="304">
        <f t="shared" si="18"/>
        <v>624.45773048021078</v>
      </c>
      <c r="AB11" s="304">
        <f t="shared" si="18"/>
        <v>601.13391528303214</v>
      </c>
      <c r="AC11" s="306"/>
      <c r="AD11" s="304">
        <f t="shared" ref="AD11:AF11" si="19">SUM(AD23,AD35,AD53,AD65,AD77,AD95)</f>
        <v>517.9695710766041</v>
      </c>
      <c r="AE11" s="304">
        <f t="shared" si="19"/>
        <v>452.27956029613472</v>
      </c>
      <c r="AF11" s="304">
        <f t="shared" si="19"/>
        <v>357.03291341504155</v>
      </c>
      <c r="AG11" s="306"/>
      <c r="AH11" s="304">
        <f t="shared" ref="AH11:AJ11" si="20">SUM(AH23,AH35,AH53,AH65,AH77,AH95)</f>
        <v>317.49156153786032</v>
      </c>
      <c r="AI11" s="304">
        <f t="shared" si="20"/>
        <v>268.1392810395422</v>
      </c>
      <c r="AJ11" s="304">
        <f t="shared" si="20"/>
        <v>182.42884008663094</v>
      </c>
      <c r="AK11" s="306"/>
      <c r="AL11" s="304">
        <f t="shared" ref="AL11:AN11" si="21">SUM(AL23,AL35,AL53,AL65,AL77,AL95)</f>
        <v>69.956683769535616</v>
      </c>
      <c r="AM11" s="304">
        <f t="shared" si="21"/>
        <v>64.304643329043685</v>
      </c>
      <c r="AN11" s="304">
        <f t="shared" si="21"/>
        <v>71.900959764064297</v>
      </c>
    </row>
    <row r="12" spans="1:40" x14ac:dyDescent="0.3">
      <c r="A12" s="13" t="str">
        <f>name!E7</f>
        <v>Administrative and secretarial occupations</v>
      </c>
      <c r="B12" s="304">
        <f t="shared" si="0"/>
        <v>3147.030337674878</v>
      </c>
      <c r="C12" s="304">
        <f t="shared" si="0"/>
        <v>2968.9679970158149</v>
      </c>
      <c r="D12" s="304">
        <f t="shared" si="0"/>
        <v>2720.1220560833963</v>
      </c>
      <c r="E12" s="304"/>
      <c r="F12" s="304">
        <f t="shared" si="1"/>
        <v>17.997088928881745</v>
      </c>
      <c r="G12" s="304">
        <f t="shared" si="1"/>
        <v>23.83364047646203</v>
      </c>
      <c r="H12" s="304">
        <f t="shared" si="1"/>
        <v>38.002891308140093</v>
      </c>
      <c r="I12" s="304"/>
      <c r="J12" s="304">
        <f t="shared" si="2"/>
        <v>219.94402537381509</v>
      </c>
      <c r="K12" s="304">
        <f t="shared" si="2"/>
        <v>287.5963827471499</v>
      </c>
      <c r="L12" s="304">
        <f t="shared" si="2"/>
        <v>411.88677828184279</v>
      </c>
      <c r="M12" s="304"/>
      <c r="N12" s="304">
        <f t="shared" si="3"/>
        <v>632.02317465211195</v>
      </c>
      <c r="O12" s="304">
        <f t="shared" si="3"/>
        <v>688.96827314923212</v>
      </c>
      <c r="P12" s="304">
        <f t="shared" si="3"/>
        <v>813.44069604196693</v>
      </c>
      <c r="Q12" s="306"/>
      <c r="R12" s="304">
        <f t="shared" ref="R12:T12" si="22">SUM(R24,R36,R54,R66,R78,R96)</f>
        <v>235.49194934684147</v>
      </c>
      <c r="S12" s="304">
        <f t="shared" si="22"/>
        <v>250.37666168821812</v>
      </c>
      <c r="T12" s="304">
        <f t="shared" si="22"/>
        <v>278.50346713956259</v>
      </c>
      <c r="U12" s="306"/>
      <c r="V12" s="304">
        <f t="shared" ref="V12:X12" si="23">SUM(V24,V36,V54,V66,V78,V96)</f>
        <v>216.46520046487669</v>
      </c>
      <c r="W12" s="304">
        <f t="shared" si="23"/>
        <v>220.09305474241432</v>
      </c>
      <c r="X12" s="304">
        <f t="shared" si="23"/>
        <v>240.64799640648272</v>
      </c>
      <c r="Y12" s="306"/>
      <c r="Z12" s="304">
        <f t="shared" ref="Z12:AA12" si="24">SUM(Z24,Z36,Z54,Z66,Z78,Z96)</f>
        <v>650.65541692996908</v>
      </c>
      <c r="AA12" s="304">
        <f t="shared" si="24"/>
        <v>593.70657231147334</v>
      </c>
      <c r="AB12" s="304">
        <f>SUM(AB24,AB36,AB54,AB66,AB78,AB96)</f>
        <v>445.31270444165136</v>
      </c>
      <c r="AC12" s="306"/>
      <c r="AD12" s="304">
        <f t="shared" ref="AD12:AE12" si="25">SUM(AD24,AD36,AD54,AD66,AD78,AD96)</f>
        <v>688.12193981915914</v>
      </c>
      <c r="AE12" s="304">
        <f t="shared" si="25"/>
        <v>569.53738120486435</v>
      </c>
      <c r="AF12" s="304">
        <f>SUM(AF24,AF36,AF54,AF66,AF78,AF96)</f>
        <v>340.81776161917361</v>
      </c>
      <c r="AG12" s="306"/>
      <c r="AH12" s="304">
        <f t="shared" ref="AH12:AI12" si="26">SUM(AH24,AH36,AH54,AH66,AH78,AH96)</f>
        <v>387.06522638971995</v>
      </c>
      <c r="AI12" s="304">
        <f t="shared" si="26"/>
        <v>249.88774220756605</v>
      </c>
      <c r="AJ12" s="304">
        <f>SUM(AJ24,AJ36,AJ54,AJ66,AJ78,AJ96)</f>
        <v>82.989388061465576</v>
      </c>
      <c r="AK12" s="306"/>
      <c r="AL12" s="304">
        <f t="shared" ref="AL12:AM12" si="27">SUM(AL24,AL36,AL54,AL66,AL78,AL96)</f>
        <v>99.266315769502981</v>
      </c>
      <c r="AM12" s="304">
        <f t="shared" si="27"/>
        <v>84.968288488434951</v>
      </c>
      <c r="AN12" s="304">
        <f>SUM(AN24,AN36,AN54,AN66,AN78,AN96)</f>
        <v>68.520372783110588</v>
      </c>
    </row>
    <row r="13" spans="1:40" x14ac:dyDescent="0.3">
      <c r="A13" s="13" t="str">
        <f>name!E8</f>
        <v>Skilled trades occupations</v>
      </c>
      <c r="B13" s="304">
        <f t="shared" si="0"/>
        <v>2510.2782475953645</v>
      </c>
      <c r="C13" s="304">
        <f t="shared" si="0"/>
        <v>2554.2376173672142</v>
      </c>
      <c r="D13" s="304">
        <f t="shared" si="0"/>
        <v>2494.1382265499915</v>
      </c>
      <c r="E13" s="304"/>
      <c r="F13" s="304">
        <f t="shared" si="1"/>
        <v>4.5399349541545728</v>
      </c>
      <c r="G13" s="304">
        <f t="shared" si="1"/>
        <v>6.3441269818589774</v>
      </c>
      <c r="H13" s="304">
        <f t="shared" si="1"/>
        <v>9.6480264923547274</v>
      </c>
      <c r="I13" s="304"/>
      <c r="J13" s="304">
        <f t="shared" si="2"/>
        <v>57.802679124096962</v>
      </c>
      <c r="K13" s="304">
        <f t="shared" si="2"/>
        <v>87.951835199218223</v>
      </c>
      <c r="L13" s="304">
        <f t="shared" si="2"/>
        <v>148.14052037935218</v>
      </c>
      <c r="M13" s="304"/>
      <c r="N13" s="304">
        <f t="shared" si="3"/>
        <v>175.27802173409725</v>
      </c>
      <c r="O13" s="304">
        <f t="shared" si="3"/>
        <v>214.37142870016999</v>
      </c>
      <c r="P13" s="304">
        <f t="shared" si="3"/>
        <v>276.1451390446104</v>
      </c>
      <c r="Q13" s="306"/>
      <c r="R13" s="304">
        <f t="shared" ref="R13:T13" si="28">SUM(R25,R37,R55,R67,R79,R97)</f>
        <v>77.561766554427223</v>
      </c>
      <c r="S13" s="304">
        <f t="shared" si="28"/>
        <v>89.252143850177916</v>
      </c>
      <c r="T13" s="304">
        <f t="shared" si="28"/>
        <v>112.90481923412162</v>
      </c>
      <c r="U13" s="306"/>
      <c r="V13" s="304">
        <f t="shared" ref="V13:X13" si="29">SUM(V25,V37,V55,V67,V79,V97)</f>
        <v>154.84892980550302</v>
      </c>
      <c r="W13" s="304">
        <f t="shared" si="29"/>
        <v>177.44845001628281</v>
      </c>
      <c r="X13" s="304">
        <f t="shared" si="29"/>
        <v>217.62936145060846</v>
      </c>
      <c r="Y13" s="306"/>
      <c r="Z13" s="304">
        <f t="shared" ref="Z13:AB13" si="30">SUM(Z25,Z37,Z55,Z67,Z79,Z97)</f>
        <v>825.1600217878829</v>
      </c>
      <c r="AA13" s="304">
        <f t="shared" si="30"/>
        <v>818.28330448405995</v>
      </c>
      <c r="AB13" s="304">
        <f t="shared" si="30"/>
        <v>769.97577768345241</v>
      </c>
      <c r="AC13" s="306"/>
      <c r="AD13" s="304">
        <f t="shared" ref="AD13:AF13" si="31">SUM(AD25,AD37,AD55,AD67,AD79,AD97)</f>
        <v>654.62258276285945</v>
      </c>
      <c r="AE13" s="304">
        <f t="shared" si="31"/>
        <v>643.13540041284057</v>
      </c>
      <c r="AF13" s="304">
        <f t="shared" si="31"/>
        <v>582.32326449752475</v>
      </c>
      <c r="AG13" s="306"/>
      <c r="AH13" s="304">
        <f t="shared" ref="AH13:AJ13" si="32">SUM(AH25,AH37,AH55,AH67,AH79,AH97)</f>
        <v>387.1389087345205</v>
      </c>
      <c r="AI13" s="304">
        <f t="shared" si="32"/>
        <v>378.87687823039568</v>
      </c>
      <c r="AJ13" s="304">
        <f t="shared" si="32"/>
        <v>306.1082063818688</v>
      </c>
      <c r="AK13" s="306"/>
      <c r="AL13" s="304">
        <f t="shared" ref="AL13:AN13" si="33">SUM(AL25,AL37,AL55,AL67,AL79,AL97)</f>
        <v>173.32540213782278</v>
      </c>
      <c r="AM13" s="304">
        <f t="shared" si="33"/>
        <v>138.57404949221018</v>
      </c>
      <c r="AN13" s="304">
        <f t="shared" si="33"/>
        <v>71.263111386097975</v>
      </c>
    </row>
    <row r="14" spans="1:40" x14ac:dyDescent="0.3">
      <c r="A14" s="13" t="str">
        <f>name!E9</f>
        <v>Caring, leisure and other service occupations</v>
      </c>
      <c r="B14" s="304">
        <f t="shared" si="0"/>
        <v>2683.1938804533902</v>
      </c>
      <c r="C14" s="304">
        <f t="shared" si="0"/>
        <v>2869.9409146651324</v>
      </c>
      <c r="D14" s="304">
        <f t="shared" si="0"/>
        <v>3104.1211527286241</v>
      </c>
      <c r="E14" s="304"/>
      <c r="F14" s="304">
        <f t="shared" si="1"/>
        <v>3.0105849446399144</v>
      </c>
      <c r="G14" s="304">
        <f t="shared" si="1"/>
        <v>4.4942636551135156</v>
      </c>
      <c r="H14" s="304">
        <f t="shared" si="1"/>
        <v>7.4639077138087107</v>
      </c>
      <c r="I14" s="304"/>
      <c r="J14" s="304">
        <f t="shared" si="2"/>
        <v>114.05035241341126</v>
      </c>
      <c r="K14" s="304">
        <f t="shared" si="2"/>
        <v>164.1202462903581</v>
      </c>
      <c r="L14" s="304">
        <f t="shared" si="2"/>
        <v>266.58181210241708</v>
      </c>
      <c r="M14" s="304"/>
      <c r="N14" s="304">
        <f t="shared" si="3"/>
        <v>341.02998716727336</v>
      </c>
      <c r="O14" s="304">
        <f t="shared" si="3"/>
        <v>406.90220282183202</v>
      </c>
      <c r="P14" s="304">
        <f t="shared" si="3"/>
        <v>512.39702541866325</v>
      </c>
      <c r="Q14" s="306"/>
      <c r="R14" s="304">
        <f>SUM(R26,R38,R56,R68,R80,R98)</f>
        <v>258.92920147500826</v>
      </c>
      <c r="S14" s="304">
        <f t="shared" ref="S14:T14" si="34">SUM(S26,S38,S56,S68,S80,S98)</f>
        <v>276.1719193803421</v>
      </c>
      <c r="T14" s="304">
        <f t="shared" si="34"/>
        <v>306.06877730861106</v>
      </c>
      <c r="U14" s="306"/>
      <c r="V14" s="304">
        <f t="shared" ref="V14:X14" si="35">SUM(V26,V38,V56,V68,V80,V98)</f>
        <v>181.92141397255307</v>
      </c>
      <c r="W14" s="304">
        <f t="shared" si="35"/>
        <v>201.5175057161444</v>
      </c>
      <c r="X14" s="304">
        <f t="shared" si="35"/>
        <v>244.19653386568754</v>
      </c>
      <c r="Y14" s="306"/>
      <c r="Z14" s="304">
        <f t="shared" ref="Z14:AB14" si="36">SUM(Z26,Z38,Z56,Z68,Z80,Z98)</f>
        <v>895.34548073239523</v>
      </c>
      <c r="AA14" s="304">
        <f t="shared" si="36"/>
        <v>973.93876089716639</v>
      </c>
      <c r="AB14" s="304">
        <f t="shared" si="36"/>
        <v>1088.1282022851055</v>
      </c>
      <c r="AC14" s="306"/>
      <c r="AD14" s="304">
        <f t="shared" ref="AD14:AF14" si="37">SUM(AD26,AD38,AD56,AD68,AD80,AD98)</f>
        <v>647.0465408548265</v>
      </c>
      <c r="AE14" s="304">
        <f t="shared" si="37"/>
        <v>631.43989447571619</v>
      </c>
      <c r="AF14" s="304">
        <f t="shared" si="37"/>
        <v>507.45304890395664</v>
      </c>
      <c r="AG14" s="306"/>
      <c r="AH14" s="304">
        <f t="shared" ref="AH14:AJ14" si="38">SUM(AH26,AH38,AH56,AH68,AH80,AH98)</f>
        <v>187.8910774270567</v>
      </c>
      <c r="AI14" s="304">
        <f t="shared" si="38"/>
        <v>162.62598799893692</v>
      </c>
      <c r="AJ14" s="304">
        <f t="shared" si="38"/>
        <v>130.63354966046327</v>
      </c>
      <c r="AK14" s="306"/>
      <c r="AL14" s="304">
        <f t="shared" ref="AL14:AN14" si="39">SUM(AL26,AL38,AL56,AL68,AL80,AL98)</f>
        <v>53.969241466225938</v>
      </c>
      <c r="AM14" s="304">
        <f t="shared" si="39"/>
        <v>48.730133429522951</v>
      </c>
      <c r="AN14" s="304">
        <f t="shared" si="39"/>
        <v>41.198295469910718</v>
      </c>
    </row>
    <row r="15" spans="1:40" x14ac:dyDescent="0.3">
      <c r="A15" s="13" t="str">
        <f>name!E10</f>
        <v>Sales and customer service occupations</v>
      </c>
      <c r="B15" s="304">
        <f t="shared" si="0"/>
        <v>2362.3332816348438</v>
      </c>
      <c r="C15" s="304">
        <f t="shared" si="0"/>
        <v>2379.1398631656675</v>
      </c>
      <c r="D15" s="304">
        <f t="shared" si="0"/>
        <v>2388.7952867984591</v>
      </c>
      <c r="E15" s="304"/>
      <c r="F15" s="304">
        <f t="shared" si="1"/>
        <v>7.1503229384349014</v>
      </c>
      <c r="G15" s="304">
        <f t="shared" si="1"/>
        <v>10.111073525170905</v>
      </c>
      <c r="H15" s="304">
        <f t="shared" si="1"/>
        <v>15.579817323088543</v>
      </c>
      <c r="I15" s="304"/>
      <c r="J15" s="304">
        <f t="shared" si="2"/>
        <v>99.207910521803768</v>
      </c>
      <c r="K15" s="304">
        <f t="shared" si="2"/>
        <v>139.75372943188398</v>
      </c>
      <c r="L15" s="304">
        <f t="shared" si="2"/>
        <v>231.09545491476104</v>
      </c>
      <c r="M15" s="304"/>
      <c r="N15" s="304">
        <f t="shared" si="3"/>
        <v>349.21149374980047</v>
      </c>
      <c r="O15" s="304">
        <f t="shared" si="3"/>
        <v>402.74563297954501</v>
      </c>
      <c r="P15" s="304">
        <f t="shared" si="3"/>
        <v>514.5155590126169</v>
      </c>
      <c r="Q15" s="306"/>
      <c r="R15" s="304">
        <f t="shared" ref="R15:T15" si="40">SUM(R27,R39,R57,R69,R81,R99)</f>
        <v>112.87883360763618</v>
      </c>
      <c r="S15" s="304">
        <f t="shared" si="40"/>
        <v>125.66994022521652</v>
      </c>
      <c r="T15" s="304">
        <f t="shared" si="40"/>
        <v>157.57238357538876</v>
      </c>
      <c r="U15" s="306"/>
      <c r="V15" s="304">
        <f t="shared" ref="V15:X15" si="41">SUM(V27,V39,V57,V69,V81,V99)</f>
        <v>103.73715686356215</v>
      </c>
      <c r="W15" s="304">
        <f t="shared" si="41"/>
        <v>114.58722236328495</v>
      </c>
      <c r="X15" s="304">
        <f t="shared" si="41"/>
        <v>135.60248890398717</v>
      </c>
      <c r="Y15" s="306"/>
      <c r="Z15" s="304">
        <f t="shared" ref="Z15:AB15" si="42">SUM(Z27,Z39,Z57,Z69,Z81,Z99)</f>
        <v>620.35265309935858</v>
      </c>
      <c r="AA15" s="304">
        <f t="shared" si="42"/>
        <v>625.96984498595032</v>
      </c>
      <c r="AB15" s="304">
        <f t="shared" si="42"/>
        <v>655.43223023474013</v>
      </c>
      <c r="AC15" s="306"/>
      <c r="AD15" s="304">
        <f t="shared" ref="AD15:AF15" si="43">SUM(AD27,AD39,AD57,AD69,AD81,AD99)</f>
        <v>571.03160636885377</v>
      </c>
      <c r="AE15" s="304">
        <f t="shared" si="43"/>
        <v>542.98627209406368</v>
      </c>
      <c r="AF15" s="304">
        <f t="shared" si="43"/>
        <v>445.5602986451712</v>
      </c>
      <c r="AG15" s="306"/>
      <c r="AH15" s="304">
        <f t="shared" ref="AH15:AJ15" si="44">SUM(AH27,AH39,AH57,AH69,AH81,AH99)</f>
        <v>365.82937731246136</v>
      </c>
      <c r="AI15" s="304">
        <f t="shared" si="44"/>
        <v>309.65369700590173</v>
      </c>
      <c r="AJ15" s="304">
        <f t="shared" si="44"/>
        <v>152.89735996718852</v>
      </c>
      <c r="AK15" s="306"/>
      <c r="AL15" s="304">
        <f t="shared" ref="AL15:AN15" si="45">SUM(AL27,AL39,AL57,AL69,AL81,AL99)</f>
        <v>132.93392717293256</v>
      </c>
      <c r="AM15" s="304">
        <f t="shared" si="45"/>
        <v>107.66245055465068</v>
      </c>
      <c r="AN15" s="304">
        <f t="shared" si="45"/>
        <v>80.539694221516953</v>
      </c>
    </row>
    <row r="16" spans="1:40" x14ac:dyDescent="0.3">
      <c r="A16" s="13" t="str">
        <f>name!E11</f>
        <v>Process, plant and machine operatives</v>
      </c>
      <c r="B16" s="304">
        <f t="shared" si="0"/>
        <v>1662.1375442945016</v>
      </c>
      <c r="C16" s="304">
        <f t="shared" si="0"/>
        <v>1867.9319690347961</v>
      </c>
      <c r="D16" s="304">
        <f t="shared" si="0"/>
        <v>1852.0872704524231</v>
      </c>
      <c r="E16" s="304"/>
      <c r="F16" s="304">
        <f t="shared" si="1"/>
        <v>4.5746453050952702</v>
      </c>
      <c r="G16" s="304">
        <f t="shared" si="1"/>
        <v>8.033240079698567</v>
      </c>
      <c r="H16" s="304">
        <f t="shared" si="1"/>
        <v>14.942359375984367</v>
      </c>
      <c r="I16" s="304"/>
      <c r="J16" s="304">
        <f t="shared" si="2"/>
        <v>31.44492010613515</v>
      </c>
      <c r="K16" s="304">
        <f t="shared" si="2"/>
        <v>51.074034217333448</v>
      </c>
      <c r="L16" s="304">
        <f t="shared" si="2"/>
        <v>90.928199270687628</v>
      </c>
      <c r="M16" s="304"/>
      <c r="N16" s="304">
        <f t="shared" si="3"/>
        <v>83.127101117246198</v>
      </c>
      <c r="O16" s="304">
        <f t="shared" si="3"/>
        <v>112.30967406025927</v>
      </c>
      <c r="P16" s="304">
        <f t="shared" si="3"/>
        <v>163.73673788116466</v>
      </c>
      <c r="Q16" s="306"/>
      <c r="R16" s="304">
        <f t="shared" ref="R16:T16" si="46">SUM(R28,R40,R58,R70,R82,R100)</f>
        <v>39.323290630692547</v>
      </c>
      <c r="S16" s="304">
        <f t="shared" si="46"/>
        <v>52.521826271395312</v>
      </c>
      <c r="T16" s="304">
        <f t="shared" si="46"/>
        <v>71.134513320915872</v>
      </c>
      <c r="U16" s="306"/>
      <c r="V16" s="304">
        <f t="shared" ref="V16:X16" si="47">SUM(V28,V40,V58,V70,V82,V100)</f>
        <v>68.600900944860157</v>
      </c>
      <c r="W16" s="304">
        <f t="shared" si="47"/>
        <v>89.856341877643416</v>
      </c>
      <c r="X16" s="304">
        <f t="shared" si="47"/>
        <v>116.52164088775889</v>
      </c>
      <c r="Y16" s="306"/>
      <c r="Z16" s="304">
        <f t="shared" ref="Z16:AB16" si="48">SUM(Z28,Z40,Z58,Z70,Z82,Z100)</f>
        <v>364.60880840485913</v>
      </c>
      <c r="AA16" s="304">
        <f t="shared" si="48"/>
        <v>436.79631422723764</v>
      </c>
      <c r="AB16" s="304">
        <f t="shared" si="48"/>
        <v>490.69191202277625</v>
      </c>
      <c r="AC16" s="306"/>
      <c r="AD16" s="304">
        <f t="shared" ref="AD16:AF16" si="49">SUM(AD28,AD40,AD58,AD70,AD82,AD100)</f>
        <v>492.97719718761363</v>
      </c>
      <c r="AE16" s="304">
        <f t="shared" si="49"/>
        <v>575.970909597434</v>
      </c>
      <c r="AF16" s="304">
        <f t="shared" si="49"/>
        <v>566.02525908546647</v>
      </c>
      <c r="AG16" s="306"/>
      <c r="AH16" s="304">
        <f t="shared" ref="AH16:AJ16" si="50">SUM(AH28,AH40,AH58,AH70,AH82,AH100)</f>
        <v>402.13208671161181</v>
      </c>
      <c r="AI16" s="304">
        <f t="shared" si="50"/>
        <v>407.45431929564421</v>
      </c>
      <c r="AJ16" s="304">
        <f t="shared" si="50"/>
        <v>266.76190842652619</v>
      </c>
      <c r="AK16" s="306"/>
      <c r="AL16" s="304">
        <f t="shared" ref="AL16:AN16" si="51">SUM(AL28,AL40,AL58,AL70,AL82,AL100)</f>
        <v>175.34859388638773</v>
      </c>
      <c r="AM16" s="304">
        <f t="shared" si="51"/>
        <v>133.91530940815019</v>
      </c>
      <c r="AN16" s="304">
        <f t="shared" si="51"/>
        <v>71.344740181142953</v>
      </c>
    </row>
    <row r="17" spans="1:40" x14ac:dyDescent="0.3">
      <c r="A17" s="13" t="str">
        <f>name!E12</f>
        <v>Elementary occupations</v>
      </c>
      <c r="B17" s="304">
        <f t="shared" si="0"/>
        <v>3001.5109789107487</v>
      </c>
      <c r="C17" s="304">
        <f t="shared" si="0"/>
        <v>3009.8110450580343</v>
      </c>
      <c r="D17" s="304">
        <f t="shared" si="0"/>
        <v>2907.1002530060468</v>
      </c>
      <c r="E17" s="304"/>
      <c r="F17" s="304">
        <f t="shared" si="1"/>
        <v>2.3359457382491473</v>
      </c>
      <c r="G17" s="304">
        <f t="shared" si="1"/>
        <v>3.4413113380546081</v>
      </c>
      <c r="H17" s="304">
        <f t="shared" si="1"/>
        <v>5.3262844209669407</v>
      </c>
      <c r="I17" s="304"/>
      <c r="J17" s="304">
        <f t="shared" si="2"/>
        <v>81.668791012557975</v>
      </c>
      <c r="K17" s="304">
        <f t="shared" si="2"/>
        <v>124.51591759719919</v>
      </c>
      <c r="L17" s="304">
        <f t="shared" si="2"/>
        <v>228.79981738501212</v>
      </c>
      <c r="M17" s="304"/>
      <c r="N17" s="304">
        <f t="shared" si="3"/>
        <v>250.44520181043947</v>
      </c>
      <c r="O17" s="304">
        <f t="shared" si="3"/>
        <v>298.05195534941515</v>
      </c>
      <c r="P17" s="304">
        <f t="shared" si="3"/>
        <v>388.24969671923066</v>
      </c>
      <c r="Q17" s="306"/>
      <c r="R17" s="304">
        <f t="shared" ref="R17:T17" si="52">SUM(R29,R41,R59,R71,R83,R101)</f>
        <v>123.76708786408219</v>
      </c>
      <c r="S17" s="304">
        <f t="shared" si="52"/>
        <v>144.79743412569005</v>
      </c>
      <c r="T17" s="304">
        <f t="shared" si="52"/>
        <v>192.66790077004035</v>
      </c>
      <c r="U17" s="306"/>
      <c r="V17" s="304">
        <f t="shared" ref="V17:X17" si="53">SUM(V29,V41,V59,V71,V83,V101)</f>
        <v>114.0254279345602</v>
      </c>
      <c r="W17" s="304">
        <f t="shared" si="53"/>
        <v>129.8673882959761</v>
      </c>
      <c r="X17" s="304">
        <f t="shared" si="53"/>
        <v>169.76923675324977</v>
      </c>
      <c r="Y17" s="306"/>
      <c r="Z17" s="304">
        <f t="shared" ref="Z17:AB17" si="54">SUM(Z29,Z41,Z59,Z71,Z83,Z101)</f>
        <v>528.57417916194674</v>
      </c>
      <c r="AA17" s="304">
        <f t="shared" si="54"/>
        <v>521.30948620562697</v>
      </c>
      <c r="AB17" s="304">
        <f t="shared" si="54"/>
        <v>524.63348868031437</v>
      </c>
      <c r="AC17" s="306"/>
      <c r="AD17" s="304">
        <f t="shared" ref="AD17:AF17" si="55">SUM(AD29,AD41,AD59,AD71,AD83,AD101)</f>
        <v>829.58112580359909</v>
      </c>
      <c r="AE17" s="304">
        <f t="shared" si="55"/>
        <v>841.03131149885678</v>
      </c>
      <c r="AF17" s="304">
        <f t="shared" si="55"/>
        <v>745.76158496461824</v>
      </c>
      <c r="AG17" s="306"/>
      <c r="AH17" s="304">
        <f t="shared" ref="AH17:AJ17" si="56">SUM(AH29,AH41,AH59,AH71,AH83,AH101)</f>
        <v>776.07386792939928</v>
      </c>
      <c r="AI17" s="304">
        <f t="shared" si="56"/>
        <v>735.23355749126381</v>
      </c>
      <c r="AJ17" s="304">
        <f t="shared" si="56"/>
        <v>515.93860217802421</v>
      </c>
      <c r="AK17" s="306"/>
      <c r="AL17" s="304">
        <f t="shared" ref="AL17:AN17" si="57">SUM(AL29,AL41,AL59,AL71,AL83,AL101)</f>
        <v>295.03935165591457</v>
      </c>
      <c r="AM17" s="304">
        <f t="shared" si="57"/>
        <v>211.56268315595133</v>
      </c>
      <c r="AN17" s="304">
        <f t="shared" si="57"/>
        <v>135.95364113459027</v>
      </c>
    </row>
    <row r="18" spans="1:40" x14ac:dyDescent="0.3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3">
      <c r="A20" s="13" t="str">
        <f t="shared" ref="A20:A29" si="58">A8</f>
        <v>All occupations</v>
      </c>
      <c r="B20" s="305">
        <f>SUM(B21:B29)</f>
        <v>554.54399999805958</v>
      </c>
      <c r="C20" s="305">
        <f>SUM(C21:C29)</f>
        <v>561.28600000060635</v>
      </c>
      <c r="D20" s="305">
        <f>SUM(D21:D29)</f>
        <v>571.7849999981961</v>
      </c>
      <c r="E20" s="304"/>
      <c r="F20" s="305">
        <f>SUM(F21:F29)</f>
        <v>7.0433751191594434</v>
      </c>
      <c r="G20" s="305">
        <f>SUM(G21:G29)</f>
        <v>9.0288125766185221</v>
      </c>
      <c r="H20" s="305">
        <f>SUM(H21:H29)</f>
        <v>12.943701818030203</v>
      </c>
      <c r="I20" s="304"/>
      <c r="J20" s="305">
        <f>SUM(J21:J29)</f>
        <v>39.653281325179186</v>
      </c>
      <c r="K20" s="305">
        <f>SUM(K21:K29)</f>
        <v>48.831024348167091</v>
      </c>
      <c r="L20" s="305">
        <f>SUM(L21:L29)</f>
        <v>66.955093841992152</v>
      </c>
      <c r="M20" s="304"/>
      <c r="N20" s="305">
        <f>SUM(N21:N29)</f>
        <v>97.059030459335517</v>
      </c>
      <c r="O20" s="305">
        <f>SUM(O21:O29)</f>
        <v>103.44175992980145</v>
      </c>
      <c r="P20" s="305">
        <f>SUM(P21:P29)</f>
        <v>119.98059803124173</v>
      </c>
      <c r="Q20" s="306"/>
      <c r="R20" s="305">
        <f>SUM(R21:R29)</f>
        <v>20.690970379828311</v>
      </c>
      <c r="S20" s="305">
        <f>SUM(S21:S29)</f>
        <v>22.276312227940704</v>
      </c>
      <c r="T20" s="305">
        <f>SUM(T21:T29)</f>
        <v>26.317136983181818</v>
      </c>
      <c r="U20" s="306"/>
      <c r="V20" s="305">
        <f>SUM(V21:V29)</f>
        <v>49.395419928365726</v>
      </c>
      <c r="W20" s="305">
        <f>SUM(W21:W29)</f>
        <v>52.378176370529992</v>
      </c>
      <c r="X20" s="305">
        <f>SUM(X21:X29)</f>
        <v>60.670417860032373</v>
      </c>
      <c r="Y20" s="306"/>
      <c r="Z20" s="305">
        <f>SUM(Z21:Z29)</f>
        <v>111.5661863255215</v>
      </c>
      <c r="AA20" s="305">
        <f>SUM(AA21:AA29)</f>
        <v>109.29060107350436</v>
      </c>
      <c r="AB20" s="305">
        <f>SUM(AB21:AB29)</f>
        <v>109.56129006412928</v>
      </c>
      <c r="AC20" s="306"/>
      <c r="AD20" s="305">
        <f>SUM(AD21:AD29)</f>
        <v>108.56650545244123</v>
      </c>
      <c r="AE20" s="305">
        <f>SUM(AE21:AE29)</f>
        <v>104.13193451335685</v>
      </c>
      <c r="AF20" s="305">
        <f>SUM(AF21:AF29)</f>
        <v>92.087344430723618</v>
      </c>
      <c r="AG20" s="306"/>
      <c r="AH20" s="305">
        <f>SUM(AH21:AH29)</f>
        <v>73.841087705579284</v>
      </c>
      <c r="AI20" s="305">
        <f>SUM(AI21:AI29)</f>
        <v>65.036958734148357</v>
      </c>
      <c r="AJ20" s="305">
        <f>SUM(AJ21:AJ29)</f>
        <v>47.706180163999036</v>
      </c>
      <c r="AK20" s="306"/>
      <c r="AL20" s="305">
        <f>SUM(AL21:AL29)</f>
        <v>46.728143302649329</v>
      </c>
      <c r="AM20" s="305">
        <f>SUM(AM21:AM29)</f>
        <v>46.87042022653894</v>
      </c>
      <c r="AN20" s="305">
        <f>SUM(AN21:AN29)</f>
        <v>35.563236804865724</v>
      </c>
    </row>
    <row r="21" spans="1:40" x14ac:dyDescent="0.3">
      <c r="A21" s="13" t="str">
        <f t="shared" si="58"/>
        <v>Managers, directors and senior officials</v>
      </c>
      <c r="B21" s="304">
        <f>SUM(F21,J21,N21,R21,V21,Z21,AD21,AH21,AL21)</f>
        <v>58.159416731503327</v>
      </c>
      <c r="C21" s="304">
        <f t="shared" ref="C21:D21" si="59">SUM(G21,K21,O21,S21,W21,AA21,AE21,AI21,AM21)</f>
        <v>62.074162004925384</v>
      </c>
      <c r="D21" s="304">
        <f t="shared" si="59"/>
        <v>67.486909277458849</v>
      </c>
      <c r="E21" s="304"/>
      <c r="F21" s="304">
        <v>1.6199201153440772</v>
      </c>
      <c r="G21" s="304">
        <v>2.0634439525556738</v>
      </c>
      <c r="H21" s="304">
        <v>2.7781808371922572</v>
      </c>
      <c r="I21" s="304"/>
      <c r="J21" s="304">
        <v>9.6001923175124784</v>
      </c>
      <c r="K21" s="304">
        <v>11.165958522784987</v>
      </c>
      <c r="L21" s="304">
        <v>14.288969297598749</v>
      </c>
      <c r="M21" s="304"/>
      <c r="N21" s="304">
        <v>13.778137158872322</v>
      </c>
      <c r="O21" s="304">
        <v>14.096465957864764</v>
      </c>
      <c r="P21" s="304">
        <v>15.840741243173824</v>
      </c>
      <c r="Q21" s="306"/>
      <c r="R21" s="304">
        <v>2.5477856005271176</v>
      </c>
      <c r="S21" s="304">
        <v>2.8185731564649825</v>
      </c>
      <c r="T21" s="304">
        <v>3.1290724453605789</v>
      </c>
      <c r="U21" s="306"/>
      <c r="V21" s="304">
        <v>4.025315088017412</v>
      </c>
      <c r="W21" s="304">
        <v>3.6899556011492303</v>
      </c>
      <c r="X21" s="304">
        <v>3.61768465828884</v>
      </c>
      <c r="Y21" s="306"/>
      <c r="Z21" s="304">
        <v>9.3114774168690797</v>
      </c>
      <c r="AA21" s="304">
        <v>10.839552100110005</v>
      </c>
      <c r="AB21" s="304">
        <v>13.236683766678834</v>
      </c>
      <c r="AC21" s="306"/>
      <c r="AD21" s="304">
        <v>8.0914170754169952</v>
      </c>
      <c r="AE21" s="304">
        <v>8.1667764559494103</v>
      </c>
      <c r="AF21" s="304">
        <v>6.6470251806395062</v>
      </c>
      <c r="AG21" s="306"/>
      <c r="AH21" s="304">
        <v>5.4764655056870026</v>
      </c>
      <c r="AI21" s="304">
        <v>5.0561404689856424</v>
      </c>
      <c r="AJ21" s="304">
        <v>3.4769820336638695</v>
      </c>
      <c r="AK21" s="306"/>
      <c r="AL21" s="304">
        <v>3.7087064532568399</v>
      </c>
      <c r="AM21" s="304">
        <v>4.1772957890606897</v>
      </c>
      <c r="AN21" s="304">
        <v>4.471569814862387</v>
      </c>
    </row>
    <row r="22" spans="1:40" x14ac:dyDescent="0.3">
      <c r="A22" s="13" t="str">
        <f t="shared" si="58"/>
        <v>Professional occupations</v>
      </c>
      <c r="B22" s="304">
        <f t="shared" ref="B22:B29" si="60">SUM(F22,J22,N22,R22,V22,Z22,AD22,AH22,AL22)</f>
        <v>77.87756678599159</v>
      </c>
      <c r="C22" s="304">
        <f t="shared" ref="C22:C29" si="61">SUM(G22,K22,O22,S22,W22,AA22,AE22,AI22,AM22)</f>
        <v>83.464340162057212</v>
      </c>
      <c r="D22" s="304">
        <f t="shared" ref="D22:D29" si="62">SUM(H22,L22,P22,T22,X22,AB22,AF22,AJ22,AN22)</f>
        <v>93.406960864097186</v>
      </c>
      <c r="E22" s="304"/>
      <c r="F22" s="304">
        <v>3.1411676148504193</v>
      </c>
      <c r="G22" s="304">
        <v>4.1272131263196785</v>
      </c>
      <c r="H22" s="304">
        <v>5.9365121637581941</v>
      </c>
      <c r="I22" s="304"/>
      <c r="J22" s="304">
        <v>14.94839905990216</v>
      </c>
      <c r="K22" s="304">
        <v>19.046722816027575</v>
      </c>
      <c r="L22" s="304">
        <v>26.214358337065732</v>
      </c>
      <c r="M22" s="304"/>
      <c r="N22" s="304">
        <v>24.534556155762949</v>
      </c>
      <c r="O22" s="304">
        <v>25.024767313639334</v>
      </c>
      <c r="P22" s="304">
        <v>25.757815528990825</v>
      </c>
      <c r="Q22" s="306"/>
      <c r="R22" s="304">
        <v>2.644929268293458</v>
      </c>
      <c r="S22" s="304">
        <v>2.7328781765475831</v>
      </c>
      <c r="T22" s="304">
        <v>2.9191138492372892</v>
      </c>
      <c r="U22" s="306"/>
      <c r="V22" s="304">
        <v>10.171070866080775</v>
      </c>
      <c r="W22" s="304">
        <v>10.405697778413181</v>
      </c>
      <c r="X22" s="304">
        <v>11.339051210931515</v>
      </c>
      <c r="Y22" s="306"/>
      <c r="Z22" s="304">
        <v>8.7969091031808357</v>
      </c>
      <c r="AA22" s="304">
        <v>8.139513920850364</v>
      </c>
      <c r="AB22" s="304">
        <v>7.3599724365423738</v>
      </c>
      <c r="AC22" s="306"/>
      <c r="AD22" s="304">
        <v>6.6405374068460841</v>
      </c>
      <c r="AE22" s="304">
        <v>6.4578941700287906</v>
      </c>
      <c r="AF22" s="304">
        <v>6.8209070166433383</v>
      </c>
      <c r="AG22" s="306"/>
      <c r="AH22" s="304">
        <v>4.6260168340823187</v>
      </c>
      <c r="AI22" s="304">
        <v>4.752984098472294</v>
      </c>
      <c r="AJ22" s="304">
        <v>4.0185108775525515</v>
      </c>
      <c r="AK22" s="306"/>
      <c r="AL22" s="304">
        <v>2.3739804769925796</v>
      </c>
      <c r="AM22" s="304">
        <v>2.7766687617584029</v>
      </c>
      <c r="AN22" s="304">
        <v>3.0407194433753526</v>
      </c>
    </row>
    <row r="23" spans="1:40" x14ac:dyDescent="0.3">
      <c r="A23" s="13" t="str">
        <f t="shared" si="58"/>
        <v>Associate professional occupations</v>
      </c>
      <c r="B23" s="304">
        <f t="shared" si="60"/>
        <v>57.528217585263377</v>
      </c>
      <c r="C23" s="304">
        <f t="shared" si="61"/>
        <v>55.059506187448882</v>
      </c>
      <c r="D23" s="304">
        <f t="shared" si="62"/>
        <v>60.238266931137296</v>
      </c>
      <c r="E23" s="304"/>
      <c r="F23" s="304">
        <v>1.1658258641390962</v>
      </c>
      <c r="G23" s="304">
        <v>1.4221663909086932</v>
      </c>
      <c r="H23" s="304">
        <v>2.1786753301125907</v>
      </c>
      <c r="I23" s="304"/>
      <c r="J23" s="304">
        <v>5.6850149680983337</v>
      </c>
      <c r="K23" s="304">
        <v>6.6911156323116661</v>
      </c>
      <c r="L23" s="304">
        <v>9.1676796210470126</v>
      </c>
      <c r="M23" s="304"/>
      <c r="N23" s="304">
        <v>14.68807590993743</v>
      </c>
      <c r="O23" s="304">
        <v>14.051970470392925</v>
      </c>
      <c r="P23" s="304">
        <v>15.159256400511129</v>
      </c>
      <c r="Q23" s="306"/>
      <c r="R23" s="304">
        <v>1.6798030145718716</v>
      </c>
      <c r="S23" s="304">
        <v>1.6127138435859589</v>
      </c>
      <c r="T23" s="304">
        <v>1.895199098025067</v>
      </c>
      <c r="U23" s="306"/>
      <c r="V23" s="304">
        <v>8.0922815106183581</v>
      </c>
      <c r="W23" s="304">
        <v>8.3877541928797079</v>
      </c>
      <c r="X23" s="304">
        <v>10.077802509080954</v>
      </c>
      <c r="Y23" s="306"/>
      <c r="Z23" s="304">
        <v>12.869240401778924</v>
      </c>
      <c r="AA23" s="304">
        <v>10.772256925441425</v>
      </c>
      <c r="AB23" s="304">
        <v>10.420468707043309</v>
      </c>
      <c r="AC23" s="306"/>
      <c r="AD23" s="304">
        <v>5.8808743417042644</v>
      </c>
      <c r="AE23" s="304">
        <v>4.6111630916969748</v>
      </c>
      <c r="AF23" s="304">
        <v>3.6022699666005527</v>
      </c>
      <c r="AG23" s="306"/>
      <c r="AH23" s="304">
        <v>5.2164217892623768</v>
      </c>
      <c r="AI23" s="304">
        <v>4.8552084344271007</v>
      </c>
      <c r="AJ23" s="304">
        <v>4.0895924354484059</v>
      </c>
      <c r="AK23" s="306"/>
      <c r="AL23" s="304">
        <v>2.2506797851527267</v>
      </c>
      <c r="AM23" s="304">
        <v>2.655157205804437</v>
      </c>
      <c r="AN23" s="304">
        <v>3.6473228632682808</v>
      </c>
    </row>
    <row r="24" spans="1:40" x14ac:dyDescent="0.3">
      <c r="A24" s="13" t="str">
        <f t="shared" si="58"/>
        <v>Administrative and secretarial occupations</v>
      </c>
      <c r="B24" s="304">
        <f t="shared" si="60"/>
        <v>43.41361364645028</v>
      </c>
      <c r="C24" s="304">
        <f t="shared" si="61"/>
        <v>39.581553764226221</v>
      </c>
      <c r="D24" s="304">
        <f t="shared" si="62"/>
        <v>34.233801137638991</v>
      </c>
      <c r="E24" s="304"/>
      <c r="F24" s="304">
        <v>0.14007702080526155</v>
      </c>
      <c r="G24" s="304">
        <v>0.15214381709682728</v>
      </c>
      <c r="H24" s="304">
        <v>0.2497341071615691</v>
      </c>
      <c r="I24" s="304"/>
      <c r="J24" s="304">
        <v>2.6256887356186103</v>
      </c>
      <c r="K24" s="304">
        <v>3.1164852965904841</v>
      </c>
      <c r="L24" s="304">
        <v>4.6591154234361598</v>
      </c>
      <c r="M24" s="304"/>
      <c r="N24" s="304">
        <v>7.7961330292821822</v>
      </c>
      <c r="O24" s="304">
        <v>7.7625981484854041</v>
      </c>
      <c r="P24" s="304">
        <v>8.1405261552970174</v>
      </c>
      <c r="Q24" s="306"/>
      <c r="R24" s="304">
        <v>1.3050805338912199</v>
      </c>
      <c r="S24" s="304">
        <v>1.1704195514538152</v>
      </c>
      <c r="T24" s="304">
        <v>1.0557972939496332</v>
      </c>
      <c r="U24" s="306"/>
      <c r="V24" s="304">
        <v>3.9508863132033429</v>
      </c>
      <c r="W24" s="304">
        <v>3.9187494699027452</v>
      </c>
      <c r="X24" s="304">
        <v>3.9964689542608234</v>
      </c>
      <c r="Y24" s="306"/>
      <c r="Z24" s="304">
        <v>9.5948818608832536</v>
      </c>
      <c r="AA24" s="304">
        <v>8.2560046581613769</v>
      </c>
      <c r="AB24" s="304">
        <v>6.1070516304840572</v>
      </c>
      <c r="AC24" s="306"/>
      <c r="AD24" s="304">
        <v>8.5780201057351331</v>
      </c>
      <c r="AE24" s="304">
        <v>6.6513432239084649</v>
      </c>
      <c r="AF24" s="304">
        <v>4.1002188989509607</v>
      </c>
      <c r="AG24" s="306"/>
      <c r="AH24" s="304">
        <v>5.8875023571754763</v>
      </c>
      <c r="AI24" s="304">
        <v>4.8536123341819586</v>
      </c>
      <c r="AJ24" s="304">
        <v>2.6844084293186095</v>
      </c>
      <c r="AK24" s="306"/>
      <c r="AL24" s="304">
        <v>3.5353436898557971</v>
      </c>
      <c r="AM24" s="304">
        <v>3.7001972644451473</v>
      </c>
      <c r="AN24" s="304">
        <v>3.2404802447801604</v>
      </c>
    </row>
    <row r="25" spans="1:40" x14ac:dyDescent="0.3">
      <c r="A25" s="13" t="str">
        <f t="shared" si="58"/>
        <v>Skilled trades occupations</v>
      </c>
      <c r="B25" s="304">
        <f t="shared" si="60"/>
        <v>155.80410111817343</v>
      </c>
      <c r="C25" s="304">
        <f t="shared" si="61"/>
        <v>153.2634764078249</v>
      </c>
      <c r="D25" s="304">
        <f t="shared" si="62"/>
        <v>148.10797321498922</v>
      </c>
      <c r="E25" s="304"/>
      <c r="F25" s="304">
        <v>0.6702732688527776</v>
      </c>
      <c r="G25" s="304">
        <v>0.87744206449805429</v>
      </c>
      <c r="H25" s="304">
        <v>1.2777701036551781</v>
      </c>
      <c r="I25" s="304"/>
      <c r="J25" s="304">
        <v>2.8993418694917397</v>
      </c>
      <c r="K25" s="304">
        <v>3.6460911823277522</v>
      </c>
      <c r="L25" s="304">
        <v>5.4686841709306995</v>
      </c>
      <c r="M25" s="304"/>
      <c r="N25" s="304">
        <v>22.84290336392316</v>
      </c>
      <c r="O25" s="304">
        <v>26.804403388650087</v>
      </c>
      <c r="P25" s="304">
        <v>36.455231744832481</v>
      </c>
      <c r="Q25" s="306"/>
      <c r="R25" s="304">
        <v>6.5919719324131538</v>
      </c>
      <c r="S25" s="304">
        <v>7.3348458213634506</v>
      </c>
      <c r="T25" s="304">
        <v>9.2672493144680104</v>
      </c>
      <c r="U25" s="306"/>
      <c r="V25" s="304">
        <v>14.904616512633716</v>
      </c>
      <c r="W25" s="304">
        <v>16.501389288399629</v>
      </c>
      <c r="X25" s="304">
        <v>20.939406232811042</v>
      </c>
      <c r="Y25" s="306"/>
      <c r="Z25" s="304">
        <v>33.030843841489848</v>
      </c>
      <c r="AA25" s="304">
        <v>29.804806830430248</v>
      </c>
      <c r="AB25" s="304">
        <v>25.673213022054039</v>
      </c>
      <c r="AC25" s="306"/>
      <c r="AD25" s="304">
        <v>35.446946642180947</v>
      </c>
      <c r="AE25" s="304">
        <v>33.960971312120762</v>
      </c>
      <c r="AF25" s="304">
        <v>30.592927229690691</v>
      </c>
      <c r="AG25" s="306"/>
      <c r="AH25" s="304">
        <v>22.394762060531868</v>
      </c>
      <c r="AI25" s="304">
        <v>19.310536127589781</v>
      </c>
      <c r="AJ25" s="304">
        <v>13.180666624748508</v>
      </c>
      <c r="AK25" s="306"/>
      <c r="AL25" s="304">
        <v>17.022441626656224</v>
      </c>
      <c r="AM25" s="304">
        <v>15.022990392445145</v>
      </c>
      <c r="AN25" s="304">
        <v>5.2528247717985321</v>
      </c>
    </row>
    <row r="26" spans="1:40" x14ac:dyDescent="0.3">
      <c r="A26" s="13" t="str">
        <f t="shared" si="58"/>
        <v>Caring, leisure and other service occupations</v>
      </c>
      <c r="B26" s="304">
        <f t="shared" si="60"/>
        <v>18.40464163134877</v>
      </c>
      <c r="C26" s="304">
        <f t="shared" si="61"/>
        <v>19.299834860348241</v>
      </c>
      <c r="D26" s="304">
        <f t="shared" si="62"/>
        <v>19.738633684248647</v>
      </c>
      <c r="E26" s="304"/>
      <c r="F26" s="304">
        <v>9.6010147092769352E-2</v>
      </c>
      <c r="G26" s="304">
        <v>0.13350796238870788</v>
      </c>
      <c r="H26" s="304">
        <v>0.16475474547431318</v>
      </c>
      <c r="I26" s="304"/>
      <c r="J26" s="304">
        <v>0.82097803848188855</v>
      </c>
      <c r="K26" s="304">
        <v>1.0419653171453607</v>
      </c>
      <c r="L26" s="304">
        <v>1.3845836627357282</v>
      </c>
      <c r="M26" s="304"/>
      <c r="N26" s="304">
        <v>4.1690290734256985</v>
      </c>
      <c r="O26" s="304">
        <v>4.3361229835182398</v>
      </c>
      <c r="P26" s="304">
        <v>4.3437769223113483</v>
      </c>
      <c r="Q26" s="306"/>
      <c r="R26" s="304">
        <v>1.0748488919695056</v>
      </c>
      <c r="S26" s="304">
        <v>1.3046081356011519</v>
      </c>
      <c r="T26" s="304">
        <v>1.6462517631382925</v>
      </c>
      <c r="U26" s="306"/>
      <c r="V26" s="304">
        <v>1.6037012118984157</v>
      </c>
      <c r="W26" s="304">
        <v>1.8453962767275618</v>
      </c>
      <c r="X26" s="304">
        <v>1.9508260689785011</v>
      </c>
      <c r="Y26" s="306"/>
      <c r="Z26" s="304">
        <v>2.8475527630592685</v>
      </c>
      <c r="AA26" s="304">
        <v>2.8262423742219203</v>
      </c>
      <c r="AB26" s="304">
        <v>2.8701069539048794</v>
      </c>
      <c r="AC26" s="306"/>
      <c r="AD26" s="304">
        <v>2.780798669701396</v>
      </c>
      <c r="AE26" s="304">
        <v>2.3786675343477919</v>
      </c>
      <c r="AF26" s="304">
        <v>1.6920709794416946</v>
      </c>
      <c r="AG26" s="306"/>
      <c r="AH26" s="304">
        <v>3.1601889203144267</v>
      </c>
      <c r="AI26" s="304">
        <v>3.2694757141531472</v>
      </c>
      <c r="AJ26" s="304">
        <v>3.1818353749535473</v>
      </c>
      <c r="AK26" s="306"/>
      <c r="AL26" s="304">
        <v>1.8515339154054007</v>
      </c>
      <c r="AM26" s="304">
        <v>2.1638485622443606</v>
      </c>
      <c r="AN26" s="304">
        <v>2.5044272133103447</v>
      </c>
    </row>
    <row r="27" spans="1:40" x14ac:dyDescent="0.3">
      <c r="A27" s="13" t="str">
        <f t="shared" si="58"/>
        <v>Sales and customer service occupations</v>
      </c>
      <c r="B27" s="304">
        <f t="shared" si="60"/>
        <v>26.073066438638921</v>
      </c>
      <c r="C27" s="304">
        <f t="shared" si="61"/>
        <v>27.16786163795922</v>
      </c>
      <c r="D27" s="304">
        <f t="shared" si="62"/>
        <v>28.55886111663742</v>
      </c>
      <c r="E27" s="304"/>
      <c r="F27" s="304">
        <v>0.200543060073822</v>
      </c>
      <c r="G27" s="304">
        <v>0.23783247088113446</v>
      </c>
      <c r="H27" s="304">
        <v>0.33274794501837091</v>
      </c>
      <c r="I27" s="304"/>
      <c r="J27" s="304">
        <v>1.0511942424248946</v>
      </c>
      <c r="K27" s="304">
        <v>1.3120817357394126</v>
      </c>
      <c r="L27" s="304">
        <v>1.7274911098970867</v>
      </c>
      <c r="M27" s="304"/>
      <c r="N27" s="304">
        <v>3.7921388859520642</v>
      </c>
      <c r="O27" s="304">
        <v>4.2293036887044302</v>
      </c>
      <c r="P27" s="304">
        <v>5.3119527552467041</v>
      </c>
      <c r="Q27" s="306"/>
      <c r="R27" s="304">
        <v>2.2139386729168979</v>
      </c>
      <c r="S27" s="304">
        <v>2.3345315505189155</v>
      </c>
      <c r="T27" s="304">
        <v>2.9584311269050785</v>
      </c>
      <c r="U27" s="306"/>
      <c r="V27" s="304">
        <v>1.5036689873112492</v>
      </c>
      <c r="W27" s="304">
        <v>1.5800388223733974</v>
      </c>
      <c r="X27" s="304">
        <v>1.7050791661115214</v>
      </c>
      <c r="Y27" s="306"/>
      <c r="Z27" s="304">
        <v>6.2827220281090188</v>
      </c>
      <c r="AA27" s="304">
        <v>7.0211515116428487</v>
      </c>
      <c r="AB27" s="304">
        <v>7.9852058165847213</v>
      </c>
      <c r="AC27" s="306"/>
      <c r="AD27" s="304">
        <v>4.4121050369027479</v>
      </c>
      <c r="AE27" s="304">
        <v>4.4877137269646372</v>
      </c>
      <c r="AF27" s="304">
        <v>4.1093347563951017</v>
      </c>
      <c r="AG27" s="306"/>
      <c r="AH27" s="304">
        <v>5.0304679151018687</v>
      </c>
      <c r="AI27" s="304">
        <v>4.4679142719161655</v>
      </c>
      <c r="AJ27" s="304">
        <v>3.194926734924215</v>
      </c>
      <c r="AK27" s="306"/>
      <c r="AL27" s="304">
        <v>1.5862876098463603</v>
      </c>
      <c r="AM27" s="304">
        <v>1.4972938592182823</v>
      </c>
      <c r="AN27" s="304">
        <v>1.233691705554623</v>
      </c>
    </row>
    <row r="28" spans="1:40" x14ac:dyDescent="0.3">
      <c r="A28" s="13" t="str">
        <f t="shared" si="58"/>
        <v>Process, plant and machine operatives</v>
      </c>
      <c r="B28" s="304">
        <f t="shared" si="60"/>
        <v>54.391999933086709</v>
      </c>
      <c r="C28" s="304">
        <f t="shared" si="61"/>
        <v>59.398671250600799</v>
      </c>
      <c r="D28" s="304">
        <f t="shared" si="62"/>
        <v>61.615110573645957</v>
      </c>
      <c r="E28" s="304"/>
      <c r="F28" s="304">
        <v>7.775995729932237E-3</v>
      </c>
      <c r="G28" s="304">
        <v>1.2902799666881896E-2</v>
      </c>
      <c r="H28" s="304">
        <v>2.2363165457944378E-2</v>
      </c>
      <c r="I28" s="304"/>
      <c r="J28" s="304">
        <v>0.79893251050273673</v>
      </c>
      <c r="K28" s="304">
        <v>1.1487410384785859</v>
      </c>
      <c r="L28" s="304">
        <v>1.755904323472149</v>
      </c>
      <c r="M28" s="304"/>
      <c r="N28" s="304">
        <v>2.1801879563906303</v>
      </c>
      <c r="O28" s="304">
        <v>3.0643661787785708</v>
      </c>
      <c r="P28" s="304">
        <v>4.2900296349441236</v>
      </c>
      <c r="Q28" s="306"/>
      <c r="R28" s="304">
        <v>0.86451313238829208</v>
      </c>
      <c r="S28" s="304">
        <v>1.1392842687495837</v>
      </c>
      <c r="T28" s="304">
        <v>1.5823625512784458</v>
      </c>
      <c r="U28" s="306"/>
      <c r="V28" s="304">
        <v>1.6902140246881519</v>
      </c>
      <c r="W28" s="304">
        <v>2.2052829926101798</v>
      </c>
      <c r="X28" s="304">
        <v>2.8190734125745736</v>
      </c>
      <c r="Y28" s="306"/>
      <c r="Z28" s="304">
        <v>15.809061348682073</v>
      </c>
      <c r="AA28" s="304">
        <v>18.562687202709608</v>
      </c>
      <c r="AB28" s="304">
        <v>23.469020366836659</v>
      </c>
      <c r="AC28" s="306"/>
      <c r="AD28" s="304">
        <v>17.812325171224767</v>
      </c>
      <c r="AE28" s="304">
        <v>19.037264720874642</v>
      </c>
      <c r="AF28" s="304">
        <v>18.565394690021581</v>
      </c>
      <c r="AG28" s="306"/>
      <c r="AH28" s="304">
        <v>7.3303523846057432</v>
      </c>
      <c r="AI28" s="304">
        <v>5.9485894822695773</v>
      </c>
      <c r="AJ28" s="304">
        <v>3.4879075996835001</v>
      </c>
      <c r="AK28" s="306"/>
      <c r="AL28" s="304">
        <v>7.8986374088743796</v>
      </c>
      <c r="AM28" s="304">
        <v>8.2795525664631757</v>
      </c>
      <c r="AN28" s="304">
        <v>5.6230548293769811</v>
      </c>
    </row>
    <row r="29" spans="1:40" x14ac:dyDescent="0.3">
      <c r="A29" s="13" t="str">
        <f t="shared" si="58"/>
        <v>Elementary occupations</v>
      </c>
      <c r="B29" s="304">
        <f t="shared" si="60"/>
        <v>62.891376127603124</v>
      </c>
      <c r="C29" s="304">
        <f t="shared" si="61"/>
        <v>61.976593725215437</v>
      </c>
      <c r="D29" s="304">
        <f t="shared" si="62"/>
        <v>58.39848319834239</v>
      </c>
      <c r="E29" s="304"/>
      <c r="F29" s="304">
        <v>1.7820322712882523E-3</v>
      </c>
      <c r="G29" s="304">
        <v>2.159992302872415E-3</v>
      </c>
      <c r="H29" s="304">
        <v>2.9634201997860874E-3</v>
      </c>
      <c r="I29" s="304"/>
      <c r="J29" s="304">
        <v>1.2235395831463394</v>
      </c>
      <c r="K29" s="304">
        <v>1.6618628067612735</v>
      </c>
      <c r="L29" s="304">
        <v>2.2883078958088277</v>
      </c>
      <c r="M29" s="304"/>
      <c r="N29" s="304">
        <v>3.2778689257890821</v>
      </c>
      <c r="O29" s="304">
        <v>4.0717617997677058</v>
      </c>
      <c r="P29" s="304">
        <v>4.6812676459342768</v>
      </c>
      <c r="Q29" s="306"/>
      <c r="R29" s="304">
        <v>1.7680993328567907</v>
      </c>
      <c r="S29" s="304">
        <v>1.8284577236552619</v>
      </c>
      <c r="T29" s="304">
        <v>1.8636595408194234</v>
      </c>
      <c r="U29" s="306"/>
      <c r="V29" s="304">
        <v>3.4536654139142997</v>
      </c>
      <c r="W29" s="304">
        <v>3.8439119480743664</v>
      </c>
      <c r="X29" s="304">
        <v>4.2250256469945926</v>
      </c>
      <c r="Y29" s="306"/>
      <c r="Z29" s="304">
        <v>13.023497561469206</v>
      </c>
      <c r="AA29" s="304">
        <v>13.06838554993657</v>
      </c>
      <c r="AB29" s="304">
        <v>12.439567364000403</v>
      </c>
      <c r="AC29" s="306"/>
      <c r="AD29" s="304">
        <v>18.923481002728895</v>
      </c>
      <c r="AE29" s="304">
        <v>18.380140277465376</v>
      </c>
      <c r="AF29" s="304">
        <v>15.957195712340189</v>
      </c>
      <c r="AG29" s="306"/>
      <c r="AH29" s="304">
        <v>14.718909938818207</v>
      </c>
      <c r="AI29" s="304">
        <v>12.522497802152703</v>
      </c>
      <c r="AJ29" s="304">
        <v>10.391350053705825</v>
      </c>
      <c r="AK29" s="306"/>
      <c r="AL29" s="304">
        <v>6.5005323366090169</v>
      </c>
      <c r="AM29" s="304">
        <v>6.5974158250993007</v>
      </c>
      <c r="AN29" s="304">
        <v>6.5491459185390646</v>
      </c>
    </row>
    <row r="30" spans="1:40" x14ac:dyDescent="0.3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3">
      <c r="A32" s="13" t="str">
        <f t="shared" ref="A32:A41" si="63">A8</f>
        <v>All occupations</v>
      </c>
      <c r="B32" s="305">
        <f>SUM(B33:B41)</f>
        <v>2208.4099999963064</v>
      </c>
      <c r="C32" s="305">
        <f>SUM(C33:C41)</f>
        <v>2130.7230000115933</v>
      </c>
      <c r="D32" s="305">
        <f>SUM(D33:D41)</f>
        <v>1959.1609999995233</v>
      </c>
      <c r="E32" s="304"/>
      <c r="F32" s="305">
        <f>SUM(F33:F41)</f>
        <v>26.183714063116653</v>
      </c>
      <c r="G32" s="305">
        <f>SUM(G33:G41)</f>
        <v>31.298103611472531</v>
      </c>
      <c r="H32" s="305">
        <f>SUM(H33:H41)</f>
        <v>38.719800738564899</v>
      </c>
      <c r="I32" s="304"/>
      <c r="J32" s="305">
        <f>SUM(J33:J41)</f>
        <v>148.0925042045279</v>
      </c>
      <c r="K32" s="305">
        <f>SUM(K33:K41)</f>
        <v>182.40521294101697</v>
      </c>
      <c r="L32" s="305">
        <f>SUM(L33:L41)</f>
        <v>236.93297421004382</v>
      </c>
      <c r="M32" s="304"/>
      <c r="N32" s="305">
        <f>SUM(N33:N41)</f>
        <v>345.95974850769704</v>
      </c>
      <c r="O32" s="305">
        <f>SUM(O33:O41)</f>
        <v>356.40424929708973</v>
      </c>
      <c r="P32" s="305">
        <f>SUM(P33:P41)</f>
        <v>371.98262746221894</v>
      </c>
      <c r="Q32" s="306"/>
      <c r="R32" s="305">
        <f>SUM(R33:R41)</f>
        <v>87.042809402083023</v>
      </c>
      <c r="S32" s="305">
        <f>SUM(S33:S41)</f>
        <v>91.379857822405171</v>
      </c>
      <c r="T32" s="305">
        <f>SUM(T33:T41)</f>
        <v>99.170691230365804</v>
      </c>
      <c r="U32" s="306"/>
      <c r="V32" s="305">
        <f>SUM(V33:V41)</f>
        <v>184.58862183437245</v>
      </c>
      <c r="W32" s="305">
        <f>SUM(W33:W41)</f>
        <v>186.22228126035722</v>
      </c>
      <c r="X32" s="305">
        <f>SUM(X33:X41)</f>
        <v>189.37395114518745</v>
      </c>
      <c r="Y32" s="306"/>
      <c r="Z32" s="305">
        <f>SUM(Z33:Z41)</f>
        <v>534.19368373672364</v>
      </c>
      <c r="AA32" s="305">
        <f>SUM(AA33:AA41)</f>
        <v>517.44519688859793</v>
      </c>
      <c r="AB32" s="305">
        <f>SUM(AB33:AB41)</f>
        <v>478.63642647142825</v>
      </c>
      <c r="AC32" s="306"/>
      <c r="AD32" s="305">
        <f>SUM(AD33:AD41)</f>
        <v>452.55632946170357</v>
      </c>
      <c r="AE32" s="305">
        <f>SUM(AE33:AE41)</f>
        <v>419.57741784415111</v>
      </c>
      <c r="AF32" s="305">
        <f>SUM(AF33:AF41)</f>
        <v>326.29860030721403</v>
      </c>
      <c r="AG32" s="306"/>
      <c r="AH32" s="305">
        <f>SUM(AH33:AH41)</f>
        <v>318.04653666038035</v>
      </c>
      <c r="AI32" s="305">
        <f>SUM(AI33:AI41)</f>
        <v>271.61086599681994</v>
      </c>
      <c r="AJ32" s="305">
        <f>SUM(AJ33:AJ41)</f>
        <v>164.3358588932748</v>
      </c>
      <c r="AK32" s="306"/>
      <c r="AL32" s="305">
        <f>SUM(AL33:AL41)</f>
        <v>111.74605212570188</v>
      </c>
      <c r="AM32" s="305">
        <f>SUM(AM33:AM41)</f>
        <v>74.379814349682661</v>
      </c>
      <c r="AN32" s="305">
        <f>SUM(AN33:AN41)</f>
        <v>53.710069541224954</v>
      </c>
    </row>
    <row r="33" spans="1:40" x14ac:dyDescent="0.3">
      <c r="A33" s="13" t="str">
        <f t="shared" si="63"/>
        <v>Managers, directors and senior officials</v>
      </c>
      <c r="B33" s="304">
        <f>SUM(F33,J33,N33,R33,V33,Z33,AD33,AH33,AL33)</f>
        <v>288.05660755646801</v>
      </c>
      <c r="C33" s="304">
        <f t="shared" ref="C33:C41" si="64">SUM(G33,K33,O33,S33,W33,AA33,AE33,AI33,AM33)</f>
        <v>270.37083607031838</v>
      </c>
      <c r="D33" s="304">
        <f t="shared" ref="D33:D40" si="65">SUM(H33,L33,P33,T33,X33,AB33,AF33,AJ33,AN33)</f>
        <v>263.51153138227488</v>
      </c>
      <c r="E33" s="304"/>
      <c r="F33" s="304">
        <v>3.9789096459186908</v>
      </c>
      <c r="G33" s="304">
        <v>4.2303929110876934</v>
      </c>
      <c r="H33" s="304">
        <v>4.832849203436056</v>
      </c>
      <c r="I33" s="304"/>
      <c r="J33" s="304">
        <v>30.158810516656548</v>
      </c>
      <c r="K33" s="304">
        <v>35.442750900066514</v>
      </c>
      <c r="L33" s="304">
        <v>44.261129003907634</v>
      </c>
      <c r="M33" s="304"/>
      <c r="N33" s="304">
        <v>78.465972290443702</v>
      </c>
      <c r="O33" s="304">
        <v>77.758431131176266</v>
      </c>
      <c r="P33" s="304">
        <v>80.27045193726974</v>
      </c>
      <c r="Q33" s="306"/>
      <c r="R33" s="304">
        <v>17.237237493214828</v>
      </c>
      <c r="S33" s="304">
        <v>16.884392222653318</v>
      </c>
      <c r="T33" s="304">
        <v>17.668777568022698</v>
      </c>
      <c r="U33" s="306"/>
      <c r="V33" s="304">
        <v>37.081046361968575</v>
      </c>
      <c r="W33" s="304">
        <v>35.103930338613196</v>
      </c>
      <c r="X33" s="304">
        <v>35.530536512325462</v>
      </c>
      <c r="Y33" s="306"/>
      <c r="Z33" s="304">
        <v>51.885919490428108</v>
      </c>
      <c r="AA33" s="304">
        <v>44.216891014005149</v>
      </c>
      <c r="AB33" s="304">
        <v>38.477410981330557</v>
      </c>
      <c r="AC33" s="306"/>
      <c r="AD33" s="304">
        <v>40.402684902309275</v>
      </c>
      <c r="AE33" s="304">
        <v>33.272266105867658</v>
      </c>
      <c r="AF33" s="304">
        <v>25.425419072192522</v>
      </c>
      <c r="AG33" s="306"/>
      <c r="AH33" s="304">
        <v>22.624339916752003</v>
      </c>
      <c r="AI33" s="304">
        <v>17.313047104981006</v>
      </c>
      <c r="AJ33" s="304">
        <v>10.554132678208301</v>
      </c>
      <c r="AK33" s="306"/>
      <c r="AL33" s="304">
        <v>6.2216869387763323</v>
      </c>
      <c r="AM33" s="304">
        <v>6.1487343418675939</v>
      </c>
      <c r="AN33" s="304">
        <v>6.4908244255819412</v>
      </c>
    </row>
    <row r="34" spans="1:40" x14ac:dyDescent="0.3">
      <c r="A34" s="13" t="str">
        <f t="shared" si="63"/>
        <v>Professional occupations</v>
      </c>
      <c r="B34" s="304">
        <f t="shared" ref="B34:B41" si="66">SUM(F34,J34,N34,R34,V34,Z34,AD34,AH34,AL34)</f>
        <v>400.83212625973215</v>
      </c>
      <c r="C34" s="304">
        <f t="shared" si="64"/>
        <v>410.76920645580003</v>
      </c>
      <c r="D34" s="304">
        <f t="shared" si="65"/>
        <v>411.72921691014011</v>
      </c>
      <c r="E34" s="304"/>
      <c r="F34" s="304">
        <v>16.201366241007058</v>
      </c>
      <c r="G34" s="304">
        <v>20.101987962146751</v>
      </c>
      <c r="H34" s="304">
        <v>25.046660795842342</v>
      </c>
      <c r="I34" s="304"/>
      <c r="J34" s="304">
        <v>60.836417150896999</v>
      </c>
      <c r="K34" s="304">
        <v>75.718572127764247</v>
      </c>
      <c r="L34" s="304">
        <v>95.63260623162158</v>
      </c>
      <c r="M34" s="304"/>
      <c r="N34" s="304">
        <v>111.80677895873481</v>
      </c>
      <c r="O34" s="304">
        <v>113.53354600599297</v>
      </c>
      <c r="P34" s="304">
        <v>111.79651929438667</v>
      </c>
      <c r="Q34" s="306"/>
      <c r="R34" s="304">
        <v>13.42565225904114</v>
      </c>
      <c r="S34" s="304">
        <v>13.757931462064267</v>
      </c>
      <c r="T34" s="304">
        <v>14.394210293335082</v>
      </c>
      <c r="U34" s="306"/>
      <c r="V34" s="304">
        <v>50.597599734357701</v>
      </c>
      <c r="W34" s="304">
        <v>50.35714794920154</v>
      </c>
      <c r="X34" s="304">
        <v>49.835047114740206</v>
      </c>
      <c r="Y34" s="306"/>
      <c r="Z34" s="304">
        <v>76.666263347561724</v>
      </c>
      <c r="AA34" s="304">
        <v>72.660975996715749</v>
      </c>
      <c r="AB34" s="304">
        <v>64.617156001121245</v>
      </c>
      <c r="AC34" s="306"/>
      <c r="AD34" s="304">
        <v>39.808978397881148</v>
      </c>
      <c r="AE34" s="304">
        <v>34.881224142399894</v>
      </c>
      <c r="AF34" s="304">
        <v>24.841635055786558</v>
      </c>
      <c r="AG34" s="306"/>
      <c r="AH34" s="304">
        <v>25.827591022770967</v>
      </c>
      <c r="AI34" s="304">
        <v>23.435704138704057</v>
      </c>
      <c r="AJ34" s="304">
        <v>19.174440513768225</v>
      </c>
      <c r="AK34" s="306"/>
      <c r="AL34" s="304">
        <v>5.6614791474806418</v>
      </c>
      <c r="AM34" s="304">
        <v>6.3221166708104768</v>
      </c>
      <c r="AN34" s="304">
        <v>6.3909416095381859</v>
      </c>
    </row>
    <row r="35" spans="1:40" x14ac:dyDescent="0.3">
      <c r="A35" s="13" t="str">
        <f t="shared" si="63"/>
        <v>Associate professional occupations</v>
      </c>
      <c r="B35" s="304">
        <f t="shared" si="66"/>
        <v>286.0263494035737</v>
      </c>
      <c r="C35" s="304">
        <f t="shared" si="64"/>
        <v>256.99059017641252</v>
      </c>
      <c r="D35" s="304">
        <f t="shared" si="65"/>
        <v>245.04645365796375</v>
      </c>
      <c r="E35" s="304"/>
      <c r="F35" s="304">
        <v>3.5476272082346494</v>
      </c>
      <c r="G35" s="304">
        <v>3.9298202325455134</v>
      </c>
      <c r="H35" s="304">
        <v>4.8785028940657549</v>
      </c>
      <c r="I35" s="304"/>
      <c r="J35" s="304">
        <v>27.692470305161532</v>
      </c>
      <c r="K35" s="304">
        <v>30.58361761851944</v>
      </c>
      <c r="L35" s="304">
        <v>37.767782680579707</v>
      </c>
      <c r="M35" s="304"/>
      <c r="N35" s="304">
        <v>69.476745972767873</v>
      </c>
      <c r="O35" s="304">
        <v>66.925093298830461</v>
      </c>
      <c r="P35" s="304">
        <v>66.593906751990275</v>
      </c>
      <c r="Q35" s="306"/>
      <c r="R35" s="304">
        <v>19.800387996592978</v>
      </c>
      <c r="S35" s="304">
        <v>20.063880163937018</v>
      </c>
      <c r="T35" s="304">
        <v>21.721377520216631</v>
      </c>
      <c r="U35" s="306"/>
      <c r="V35" s="304">
        <v>27.68559637387953</v>
      </c>
      <c r="W35" s="304">
        <v>24.322088425861889</v>
      </c>
      <c r="X35" s="304">
        <v>23.273844493081491</v>
      </c>
      <c r="Y35" s="306"/>
      <c r="Z35" s="304">
        <v>67.130622945215578</v>
      </c>
      <c r="AA35" s="304">
        <v>57.266260626928549</v>
      </c>
      <c r="AB35" s="304">
        <v>50.932697830530429</v>
      </c>
      <c r="AC35" s="306"/>
      <c r="AD35" s="304">
        <v>43.795535151879022</v>
      </c>
      <c r="AE35" s="304">
        <v>34.839457883232647</v>
      </c>
      <c r="AF35" s="304">
        <v>26.171311158157714</v>
      </c>
      <c r="AG35" s="306"/>
      <c r="AH35" s="304">
        <v>23.01875393774278</v>
      </c>
      <c r="AI35" s="304">
        <v>15.517134562080459</v>
      </c>
      <c r="AJ35" s="304">
        <v>10.493001962583213</v>
      </c>
      <c r="AK35" s="306"/>
      <c r="AL35" s="304">
        <v>3.8786095120997963</v>
      </c>
      <c r="AM35" s="304">
        <v>3.543237364476548</v>
      </c>
      <c r="AN35" s="304">
        <v>3.2140283667585128</v>
      </c>
    </row>
    <row r="36" spans="1:40" x14ac:dyDescent="0.3">
      <c r="A36" s="13" t="str">
        <f t="shared" si="63"/>
        <v>Administrative and secretarial occupations</v>
      </c>
      <c r="B36" s="304">
        <f t="shared" si="66"/>
        <v>181.94115155689042</v>
      </c>
      <c r="C36" s="304">
        <f t="shared" si="64"/>
        <v>161.42649442172916</v>
      </c>
      <c r="D36" s="304">
        <f t="shared" si="65"/>
        <v>140.23048852902915</v>
      </c>
      <c r="E36" s="304"/>
      <c r="F36" s="304">
        <v>0.62575406177828563</v>
      </c>
      <c r="G36" s="304">
        <v>0.72466042645820683</v>
      </c>
      <c r="H36" s="304">
        <v>0.94147322477669404</v>
      </c>
      <c r="I36" s="304"/>
      <c r="J36" s="304">
        <v>8.5453895120981809</v>
      </c>
      <c r="K36" s="304">
        <v>10.117545540304112</v>
      </c>
      <c r="L36" s="304">
        <v>13.28882313526581</v>
      </c>
      <c r="M36" s="304"/>
      <c r="N36" s="304">
        <v>29.078862283386584</v>
      </c>
      <c r="O36" s="304">
        <v>29.883638222041412</v>
      </c>
      <c r="P36" s="304">
        <v>31.683194819940148</v>
      </c>
      <c r="Q36" s="306"/>
      <c r="R36" s="304">
        <v>10.913265350609318</v>
      </c>
      <c r="S36" s="304">
        <v>11.271523240908481</v>
      </c>
      <c r="T36" s="304">
        <v>12.273526993008144</v>
      </c>
      <c r="U36" s="306"/>
      <c r="V36" s="304">
        <v>13.806669900144971</v>
      </c>
      <c r="W36" s="304">
        <v>13.632596502198327</v>
      </c>
      <c r="X36" s="304">
        <v>14.345368321768616</v>
      </c>
      <c r="Y36" s="306"/>
      <c r="Z36" s="304">
        <v>42.371508530836785</v>
      </c>
      <c r="AA36" s="304">
        <v>38.124665670159104</v>
      </c>
      <c r="AB36" s="304">
        <v>34.0347621605735</v>
      </c>
      <c r="AC36" s="306"/>
      <c r="AD36" s="304">
        <v>51.661253544708615</v>
      </c>
      <c r="AE36" s="304">
        <v>41.920545265925846</v>
      </c>
      <c r="AF36" s="304">
        <v>27.479628682908032</v>
      </c>
      <c r="AG36" s="306"/>
      <c r="AH36" s="304">
        <v>21.112846743992492</v>
      </c>
      <c r="AI36" s="304">
        <v>12.444765143715733</v>
      </c>
      <c r="AJ36" s="304">
        <v>3.5968281106105997</v>
      </c>
      <c r="AK36" s="306"/>
      <c r="AL36" s="304">
        <v>3.825601629335178</v>
      </c>
      <c r="AM36" s="304">
        <v>3.30655441001795</v>
      </c>
      <c r="AN36" s="304">
        <v>2.5868830801775946</v>
      </c>
    </row>
    <row r="37" spans="1:40" x14ac:dyDescent="0.3">
      <c r="A37" s="13" t="str">
        <f t="shared" si="63"/>
        <v>Skilled trades occupations</v>
      </c>
      <c r="B37" s="304">
        <f t="shared" si="66"/>
        <v>438.66323880980991</v>
      </c>
      <c r="C37" s="304">
        <f t="shared" si="64"/>
        <v>408.92380472114485</v>
      </c>
      <c r="D37" s="304">
        <f t="shared" si="65"/>
        <v>343.50081640378392</v>
      </c>
      <c r="E37" s="304"/>
      <c r="F37" s="304">
        <v>0.59117539078971149</v>
      </c>
      <c r="G37" s="304">
        <v>0.79750272782217779</v>
      </c>
      <c r="H37" s="304">
        <v>1.0551816089213544</v>
      </c>
      <c r="I37" s="304"/>
      <c r="J37" s="304">
        <v>9.4352142076244814</v>
      </c>
      <c r="K37" s="304">
        <v>13.812716881323459</v>
      </c>
      <c r="L37" s="304">
        <v>20.281391152256521</v>
      </c>
      <c r="M37" s="304"/>
      <c r="N37" s="304">
        <v>22.220044696346612</v>
      </c>
      <c r="O37" s="304">
        <v>26.400504320507057</v>
      </c>
      <c r="P37" s="304">
        <v>30.406801046093175</v>
      </c>
      <c r="Q37" s="306"/>
      <c r="R37" s="304">
        <v>9.6446604421802764</v>
      </c>
      <c r="S37" s="304">
        <v>10.651444735290172</v>
      </c>
      <c r="T37" s="304">
        <v>11.436388554737849</v>
      </c>
      <c r="U37" s="306"/>
      <c r="V37" s="304">
        <v>31.751744026766453</v>
      </c>
      <c r="W37" s="304">
        <v>33.279594637842756</v>
      </c>
      <c r="X37" s="304">
        <v>33.50399168426857</v>
      </c>
      <c r="Y37" s="306"/>
      <c r="Z37" s="304">
        <v>166.31783509583187</v>
      </c>
      <c r="AA37" s="304">
        <v>157.37812456767452</v>
      </c>
      <c r="AB37" s="304">
        <v>138.59746793931214</v>
      </c>
      <c r="AC37" s="306"/>
      <c r="AD37" s="304">
        <v>105.42829989273075</v>
      </c>
      <c r="AE37" s="304">
        <v>93.283198453265356</v>
      </c>
      <c r="AF37" s="304">
        <v>63.676629531196234</v>
      </c>
      <c r="AG37" s="306"/>
      <c r="AH37" s="304">
        <v>67.931508402337457</v>
      </c>
      <c r="AI37" s="304">
        <v>58.271331338495465</v>
      </c>
      <c r="AJ37" s="304">
        <v>35.823081857309433</v>
      </c>
      <c r="AK37" s="306"/>
      <c r="AL37" s="304">
        <v>25.342756655202319</v>
      </c>
      <c r="AM37" s="304">
        <v>15.049387058923852</v>
      </c>
      <c r="AN37" s="304">
        <v>8.7198830296886385</v>
      </c>
    </row>
    <row r="38" spans="1:40" x14ac:dyDescent="0.3">
      <c r="A38" s="13" t="str">
        <f t="shared" si="63"/>
        <v>Caring, leisure and other service occupations</v>
      </c>
      <c r="B38" s="304">
        <f t="shared" si="66"/>
        <v>29.54921501028225</v>
      </c>
      <c r="C38" s="304">
        <f t="shared" si="64"/>
        <v>30.583192351541559</v>
      </c>
      <c r="D38" s="304">
        <f t="shared" si="65"/>
        <v>29.986476674424651</v>
      </c>
      <c r="E38" s="304"/>
      <c r="F38" s="304">
        <v>0.48420914747048205</v>
      </c>
      <c r="G38" s="304">
        <v>0.57182267210754234</v>
      </c>
      <c r="H38" s="304">
        <v>0.76184042280396502</v>
      </c>
      <c r="I38" s="304"/>
      <c r="J38" s="304">
        <v>0.46948275929814054</v>
      </c>
      <c r="K38" s="304">
        <v>0.56415184350173297</v>
      </c>
      <c r="L38" s="304">
        <v>0.67048877504484938</v>
      </c>
      <c r="M38" s="304"/>
      <c r="N38" s="304">
        <v>3.4974069440256779</v>
      </c>
      <c r="O38" s="304">
        <v>3.5639513267712868</v>
      </c>
      <c r="P38" s="304">
        <v>3.512723901005705</v>
      </c>
      <c r="Q38" s="306"/>
      <c r="R38" s="304">
        <v>0.91367097197762948</v>
      </c>
      <c r="S38" s="304">
        <v>0.86935763041341052</v>
      </c>
      <c r="T38" s="304">
        <v>0.83777960341207403</v>
      </c>
      <c r="U38" s="306"/>
      <c r="V38" s="304">
        <v>2.5788310966104855</v>
      </c>
      <c r="W38" s="304">
        <v>2.8123441082992739</v>
      </c>
      <c r="X38" s="304">
        <v>2.8757570529100982</v>
      </c>
      <c r="Y38" s="306"/>
      <c r="Z38" s="304">
        <v>4.5190086035300334</v>
      </c>
      <c r="AA38" s="304">
        <v>4.246700193395597</v>
      </c>
      <c r="AB38" s="304">
        <v>3.7143805837727943</v>
      </c>
      <c r="AC38" s="306"/>
      <c r="AD38" s="304">
        <v>5.5352091263112913</v>
      </c>
      <c r="AE38" s="304">
        <v>5.1049954405511704</v>
      </c>
      <c r="AF38" s="304">
        <v>4.0127468322860134</v>
      </c>
      <c r="AG38" s="306"/>
      <c r="AH38" s="304">
        <v>9.2797249318746875</v>
      </c>
      <c r="AI38" s="304">
        <v>10.19599973900112</v>
      </c>
      <c r="AJ38" s="304">
        <v>10.564932052057321</v>
      </c>
      <c r="AK38" s="306"/>
      <c r="AL38" s="304">
        <v>2.2716714291838223</v>
      </c>
      <c r="AM38" s="304">
        <v>2.6538693975004253</v>
      </c>
      <c r="AN38" s="304">
        <v>3.0358274511318299</v>
      </c>
    </row>
    <row r="39" spans="1:40" x14ac:dyDescent="0.3">
      <c r="A39" s="13" t="str">
        <f t="shared" si="63"/>
        <v>Sales and customer service occupations</v>
      </c>
      <c r="B39" s="304">
        <f t="shared" si="66"/>
        <v>72.202580682919461</v>
      </c>
      <c r="C39" s="304">
        <f t="shared" si="64"/>
        <v>71.86901355871737</v>
      </c>
      <c r="D39" s="304">
        <f t="shared" si="65"/>
        <v>68.613650167974228</v>
      </c>
      <c r="E39" s="304"/>
      <c r="F39" s="304">
        <v>0.4184258249254067</v>
      </c>
      <c r="G39" s="304">
        <v>0.48914376762368528</v>
      </c>
      <c r="H39" s="304">
        <v>0.5685838184649421</v>
      </c>
      <c r="I39" s="304"/>
      <c r="J39" s="304">
        <v>4.5133383487050738</v>
      </c>
      <c r="K39" s="304">
        <v>5.7042018809993325</v>
      </c>
      <c r="L39" s="304">
        <v>7.0610583043390296</v>
      </c>
      <c r="M39" s="304"/>
      <c r="N39" s="304">
        <v>13.706507774492646</v>
      </c>
      <c r="O39" s="304">
        <v>15.138262457592946</v>
      </c>
      <c r="P39" s="304">
        <v>16.45422188495774</v>
      </c>
      <c r="Q39" s="306"/>
      <c r="R39" s="304">
        <v>4.322537649476347</v>
      </c>
      <c r="S39" s="304">
        <v>4.9445317221066212</v>
      </c>
      <c r="T39" s="304">
        <v>5.445311462211853</v>
      </c>
      <c r="U39" s="306"/>
      <c r="V39" s="304">
        <v>4.7664812442964895</v>
      </c>
      <c r="W39" s="304">
        <v>5.4216666485258145</v>
      </c>
      <c r="X39" s="304">
        <v>5.9193017272167605</v>
      </c>
      <c r="Y39" s="306"/>
      <c r="Z39" s="304">
        <v>16.84433825850935</v>
      </c>
      <c r="AA39" s="304">
        <v>15.916778116365654</v>
      </c>
      <c r="AB39" s="304">
        <v>14.157864234323226</v>
      </c>
      <c r="AC39" s="306"/>
      <c r="AD39" s="304">
        <v>14.542704137549972</v>
      </c>
      <c r="AE39" s="304">
        <v>13.462325018461636</v>
      </c>
      <c r="AF39" s="304">
        <v>11.741163553416037</v>
      </c>
      <c r="AG39" s="306"/>
      <c r="AH39" s="304">
        <v>8.1188364711850181</v>
      </c>
      <c r="AI39" s="304">
        <v>5.9384916302920079</v>
      </c>
      <c r="AJ39" s="304">
        <v>2.6049205348573579</v>
      </c>
      <c r="AK39" s="306"/>
      <c r="AL39" s="304">
        <v>4.9694109737791603</v>
      </c>
      <c r="AM39" s="304">
        <v>4.8536123167496763</v>
      </c>
      <c r="AN39" s="304">
        <v>4.6612246481872752</v>
      </c>
    </row>
    <row r="40" spans="1:40" x14ac:dyDescent="0.3">
      <c r="A40" s="13" t="str">
        <f t="shared" si="63"/>
        <v>Process, plant and machine operatives</v>
      </c>
      <c r="B40" s="304">
        <f t="shared" si="66"/>
        <v>361.4495235592567</v>
      </c>
      <c r="C40" s="304">
        <f t="shared" si="64"/>
        <v>392.95749508171974</v>
      </c>
      <c r="D40" s="304">
        <f t="shared" si="65"/>
        <v>352.34683673028479</v>
      </c>
      <c r="E40" s="304"/>
      <c r="F40" s="304">
        <v>9.00251953820385E-2</v>
      </c>
      <c r="G40" s="304">
        <v>0.13457575566334831</v>
      </c>
      <c r="H40" s="304">
        <v>0.18743879279497458</v>
      </c>
      <c r="I40" s="304"/>
      <c r="J40" s="304">
        <v>4.9631569284057289</v>
      </c>
      <c r="K40" s="304">
        <v>8.5194999553931652</v>
      </c>
      <c r="L40" s="304">
        <v>15.352246332788688</v>
      </c>
      <c r="M40" s="304"/>
      <c r="N40" s="304">
        <v>10.758181591986885</v>
      </c>
      <c r="O40" s="304">
        <v>15.767087888524816</v>
      </c>
      <c r="P40" s="304">
        <v>23.008194534848904</v>
      </c>
      <c r="Q40" s="306"/>
      <c r="R40" s="305">
        <v>6.2266190053983435</v>
      </c>
      <c r="S40" s="305">
        <v>8.2744243665979447</v>
      </c>
      <c r="T40" s="305">
        <v>9.8724316108619643</v>
      </c>
      <c r="U40" s="306"/>
      <c r="V40" s="305">
        <v>12.704128080276128</v>
      </c>
      <c r="W40" s="305">
        <v>17.541755370838278</v>
      </c>
      <c r="X40" s="305">
        <v>20.000099711928041</v>
      </c>
      <c r="Y40" s="306"/>
      <c r="Z40" s="305">
        <v>88.183472386805249</v>
      </c>
      <c r="AA40" s="305">
        <v>109.90289881210819</v>
      </c>
      <c r="AB40" s="305">
        <v>117.31865246202246</v>
      </c>
      <c r="AC40" s="306"/>
      <c r="AD40" s="305">
        <v>113.07385314629128</v>
      </c>
      <c r="AE40" s="305">
        <v>131.0105871408866</v>
      </c>
      <c r="AF40" s="305">
        <v>119.18264332486474</v>
      </c>
      <c r="AG40" s="306"/>
      <c r="AH40" s="305">
        <v>86.466046633817712</v>
      </c>
      <c r="AI40" s="305">
        <v>83.162105538411751</v>
      </c>
      <c r="AJ40" s="305">
        <v>37.826541727028832</v>
      </c>
      <c r="AK40" s="306"/>
      <c r="AL40" s="305">
        <v>38.984040590893329</v>
      </c>
      <c r="AM40" s="305">
        <v>18.644560253295651</v>
      </c>
      <c r="AN40" s="305">
        <v>9.5985882331461827</v>
      </c>
    </row>
    <row r="41" spans="1:40" x14ac:dyDescent="0.3">
      <c r="A41" s="38" t="str">
        <f t="shared" si="63"/>
        <v>Elementary occupations</v>
      </c>
      <c r="B41" s="307">
        <f t="shared" si="66"/>
        <v>149.68920715737366</v>
      </c>
      <c r="C41" s="307">
        <f t="shared" si="64"/>
        <v>126.83236717420982</v>
      </c>
      <c r="D41" s="307">
        <f>SUM(H41,L41,P41,T41,X41,AB41,AF41,AJ41,AN41)</f>
        <v>104.19552954364755</v>
      </c>
      <c r="E41" s="307"/>
      <c r="F41" s="307">
        <v>0.24622134761032774</v>
      </c>
      <c r="G41" s="307">
        <v>0.31819715601761195</v>
      </c>
      <c r="H41" s="307">
        <v>0.44726997745882596</v>
      </c>
      <c r="I41" s="307"/>
      <c r="J41" s="307">
        <v>1.4782244756811991</v>
      </c>
      <c r="K41" s="307">
        <v>1.9421561931449547</v>
      </c>
      <c r="L41" s="307">
        <v>2.6174485942399919</v>
      </c>
      <c r="M41" s="307"/>
      <c r="N41" s="307">
        <v>6.9492479955122244</v>
      </c>
      <c r="O41" s="307">
        <v>7.4337346456524935</v>
      </c>
      <c r="P41" s="307">
        <v>8.2566132917266142</v>
      </c>
      <c r="Q41" s="308"/>
      <c r="R41" s="307">
        <v>4.5587782335921627</v>
      </c>
      <c r="S41" s="307">
        <v>4.6623722784339456</v>
      </c>
      <c r="T41" s="307">
        <v>5.5208876245595047</v>
      </c>
      <c r="U41" s="308"/>
      <c r="V41" s="307">
        <v>3.6165250160721039</v>
      </c>
      <c r="W41" s="307">
        <v>3.7511572789761725</v>
      </c>
      <c r="X41" s="307">
        <v>4.0900045269482144</v>
      </c>
      <c r="Y41" s="308"/>
      <c r="Z41" s="307">
        <v>20.274715078004828</v>
      </c>
      <c r="AA41" s="307">
        <v>17.731901891245457</v>
      </c>
      <c r="AB41" s="307">
        <v>16.7860342784419</v>
      </c>
      <c r="AC41" s="308"/>
      <c r="AD41" s="307">
        <v>38.307811162042206</v>
      </c>
      <c r="AE41" s="307">
        <v>31.802818393560308</v>
      </c>
      <c r="AF41" s="307">
        <v>23.76742309640618</v>
      </c>
      <c r="AG41" s="308"/>
      <c r="AH41" s="307">
        <v>53.666888599907303</v>
      </c>
      <c r="AI41" s="307">
        <v>45.332286801138387</v>
      </c>
      <c r="AJ41" s="307">
        <v>33.697979456851542</v>
      </c>
      <c r="AK41" s="308"/>
      <c r="AL41" s="307">
        <v>20.590795248951299</v>
      </c>
      <c r="AM41" s="307">
        <v>13.857742536040487</v>
      </c>
      <c r="AN41" s="307">
        <v>9.0118686970147976</v>
      </c>
    </row>
    <row r="42" spans="1:40" x14ac:dyDescent="0.3">
      <c r="B42" s="31"/>
      <c r="C42" s="31"/>
      <c r="D42" s="31"/>
    </row>
    <row r="43" spans="1:40" ht="15.45" x14ac:dyDescent="0.4">
      <c r="A43" s="18" t="str">
        <f>CONCATENATE(A1," (Continued)")</f>
        <v>Basic Table 1  Employment by Industry Sector, Occupation Group and Qualification, 2020-2035, England (Continued)</v>
      </c>
    </row>
    <row r="44" spans="1:40" ht="12.75" customHeight="1" x14ac:dyDescent="0.4">
      <c r="A44" s="18"/>
    </row>
    <row r="45" spans="1:40" ht="12.75" customHeight="1" x14ac:dyDescent="0.4">
      <c r="A45" s="18"/>
    </row>
    <row r="46" spans="1:40" ht="26.25" customHeight="1" x14ac:dyDescent="0.3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80" t="str">
        <f>N4</f>
        <v>RQF6 First degree</v>
      </c>
      <c r="O46" s="380"/>
      <c r="P46" s="380"/>
      <c r="Q46" s="77"/>
      <c r="R46" s="380" t="str">
        <f>R4</f>
        <v>RQF5 Foundation degree;Nursing;Teaching</v>
      </c>
      <c r="S46" s="380"/>
      <c r="T46" s="380"/>
      <c r="U46" s="77"/>
      <c r="V46" s="380" t="str">
        <f>V4</f>
        <v>RQF4 HE below degree level</v>
      </c>
      <c r="W46" s="380"/>
      <c r="X46" s="380"/>
      <c r="Y46" s="77"/>
      <c r="Z46" s="380" t="str">
        <f>Z4</f>
        <v>RQF3 A level &amp; equivalent</v>
      </c>
      <c r="AA46" s="380"/>
      <c r="AB46" s="380"/>
      <c r="AC46" s="77"/>
      <c r="AD46" s="380" t="str">
        <f>AD4</f>
        <v>RQF2 GCSE(A-C) &amp; equivalent</v>
      </c>
      <c r="AE46" s="380"/>
      <c r="AF46" s="380"/>
      <c r="AG46" s="77"/>
      <c r="AH46" s="380" t="str">
        <f>AH4</f>
        <v>RQF1 GCSE(below grade C) &amp; equivalent</v>
      </c>
      <c r="AI46" s="380"/>
      <c r="AJ46" s="380"/>
      <c r="AK46" s="77"/>
      <c r="AL46" s="380" t="str">
        <f>AL4</f>
        <v>No Qualification</v>
      </c>
      <c r="AM46" s="380"/>
      <c r="AN46" s="380"/>
    </row>
    <row r="47" spans="1:40" x14ac:dyDescent="0.3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3">
      <c r="B48" s="31"/>
      <c r="C48" s="31"/>
      <c r="D48" s="31"/>
    </row>
    <row r="49" spans="1:40" x14ac:dyDescent="0.3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3">
      <c r="A50" s="13" t="str">
        <f t="shared" ref="A50:A59" si="67">A8</f>
        <v>All occupations</v>
      </c>
      <c r="B50" s="305">
        <f>SUM(B51:B59)</f>
        <v>1999.7949999736786</v>
      </c>
      <c r="C50" s="305">
        <f>SUM(C51:C59)</f>
        <v>2097.9509999332668</v>
      </c>
      <c r="D50" s="305">
        <f>SUM(D51:D59)</f>
        <v>2251.9169999468204</v>
      </c>
      <c r="E50" s="304"/>
      <c r="F50" s="305">
        <f>SUM(F51:F59)</f>
        <v>6.8156683704953211</v>
      </c>
      <c r="G50" s="305">
        <f>SUM(G51:G59)</f>
        <v>9.705863971423776</v>
      </c>
      <c r="H50" s="305">
        <f>SUM(H51:H59)</f>
        <v>16.73750311410496</v>
      </c>
      <c r="I50" s="304"/>
      <c r="J50" s="305">
        <f>SUM(J51:J59)</f>
        <v>112.88439800568759</v>
      </c>
      <c r="K50" s="305">
        <f>SUM(K51:K59)</f>
        <v>160.45090899656518</v>
      </c>
      <c r="L50" s="305">
        <f>SUM(L51:L59)</f>
        <v>263.07402178719605</v>
      </c>
      <c r="M50" s="304"/>
      <c r="N50" s="305">
        <f>SUM(N51:N59)</f>
        <v>197.57785452888427</v>
      </c>
      <c r="O50" s="305">
        <f>SUM(O51:O59)</f>
        <v>218.54398578216913</v>
      </c>
      <c r="P50" s="305">
        <f>SUM(P51:P59)</f>
        <v>264.2605195141627</v>
      </c>
      <c r="Q50" s="304"/>
      <c r="R50" s="305">
        <f>SUM(R51:R59)</f>
        <v>70.642431265742275</v>
      </c>
      <c r="S50" s="305">
        <f>SUM(S51:S59)</f>
        <v>77.736090877544271</v>
      </c>
      <c r="T50" s="305">
        <f>SUM(T51:T59)</f>
        <v>99.243399636774129</v>
      </c>
      <c r="U50" s="304"/>
      <c r="V50" s="305">
        <f>SUM(V51:V59)</f>
        <v>145.40045227034213</v>
      </c>
      <c r="W50" s="305">
        <f>SUM(W51:W59)</f>
        <v>156.26718106168497</v>
      </c>
      <c r="X50" s="305">
        <f>SUM(X51:X59)</f>
        <v>189.76320288540495</v>
      </c>
      <c r="Y50" s="304"/>
      <c r="Z50" s="305">
        <f>SUM(Z51:Z59)</f>
        <v>592.60643940918601</v>
      </c>
      <c r="AA50" s="305">
        <f>SUM(AA51:AA59)</f>
        <v>604.92343355136336</v>
      </c>
      <c r="AB50" s="305">
        <f>SUM(AB51:AB59)</f>
        <v>634.12628204891598</v>
      </c>
      <c r="AC50" s="304"/>
      <c r="AD50" s="305">
        <f>SUM(AD51:AD59)</f>
        <v>479.25294265063036</v>
      </c>
      <c r="AE50" s="305">
        <f>SUM(AE51:AE59)</f>
        <v>500.828025975733</v>
      </c>
      <c r="AF50" s="305">
        <f>SUM(AF51:AF59)</f>
        <v>500.92672462375663</v>
      </c>
      <c r="AG50" s="304"/>
      <c r="AH50" s="305">
        <f>SUM(AH51:AH59)</f>
        <v>293.83891896860371</v>
      </c>
      <c r="AI50" s="305">
        <f>SUM(AI51:AI59)</f>
        <v>295.87595473725077</v>
      </c>
      <c r="AJ50" s="305">
        <f>SUM(AJ51:AJ59)</f>
        <v>251.63357420399376</v>
      </c>
      <c r="AK50" s="304"/>
      <c r="AL50" s="305">
        <f>SUM(AL51:AL59)</f>
        <v>100.77589450410704</v>
      </c>
      <c r="AM50" s="305">
        <f>SUM(AM51:AM59)</f>
        <v>73.61955497953204</v>
      </c>
      <c r="AN50" s="305">
        <f>SUM(AN51:AN59)</f>
        <v>32.151772132511205</v>
      </c>
    </row>
    <row r="51" spans="1:40" x14ac:dyDescent="0.3">
      <c r="A51" s="13" t="str">
        <f t="shared" si="67"/>
        <v>Managers, directors and senior officials</v>
      </c>
      <c r="B51" s="304">
        <f>SUM(F51,J51,N51,R51,V51,Z51,AD51,AH51,AL51)</f>
        <v>247.19251451240774</v>
      </c>
      <c r="C51" s="304">
        <f t="shared" ref="C51:D51" si="68">SUM(G51,K51,O51,S51,W51,AA51,AE51,AI51,AM51)</f>
        <v>245.22991419033139</v>
      </c>
      <c r="D51" s="304">
        <f t="shared" si="68"/>
        <v>288.14742874853221</v>
      </c>
      <c r="E51" s="304"/>
      <c r="F51" s="304">
        <v>1.2786738693158664</v>
      </c>
      <c r="G51" s="304">
        <v>1.9271306765467811</v>
      </c>
      <c r="H51" s="304">
        <v>3.3634363313053601</v>
      </c>
      <c r="I51" s="304"/>
      <c r="J51" s="304">
        <v>27.801171036244789</v>
      </c>
      <c r="K51" s="304">
        <v>37.711505357316845</v>
      </c>
      <c r="L51" s="304">
        <v>62.78158687437481</v>
      </c>
      <c r="M51" s="304"/>
      <c r="N51" s="304">
        <v>44.873584078037091</v>
      </c>
      <c r="O51" s="304">
        <v>46.254077883508778</v>
      </c>
      <c r="P51" s="304">
        <v>54.339849197727268</v>
      </c>
      <c r="Q51" s="304"/>
      <c r="R51" s="304">
        <v>11.72233358545231</v>
      </c>
      <c r="S51" s="304">
        <v>10.861577389293601</v>
      </c>
      <c r="T51" s="304">
        <v>11.441945104812856</v>
      </c>
      <c r="U51" s="304"/>
      <c r="V51" s="304">
        <v>28.993455510101679</v>
      </c>
      <c r="W51" s="304">
        <v>28.096542914982098</v>
      </c>
      <c r="X51" s="304">
        <v>33.246520867153343</v>
      </c>
      <c r="Y51" s="304"/>
      <c r="Z51" s="304">
        <v>61.017232401659982</v>
      </c>
      <c r="AA51" s="304">
        <v>55.379455516869875</v>
      </c>
      <c r="AB51" s="304">
        <v>64.305804951849026</v>
      </c>
      <c r="AC51" s="304"/>
      <c r="AD51" s="304">
        <v>38.948330293365515</v>
      </c>
      <c r="AE51" s="304">
        <v>34.404328240902302</v>
      </c>
      <c r="AF51" s="304">
        <v>32.581083790432416</v>
      </c>
      <c r="AG51" s="304"/>
      <c r="AH51" s="304">
        <v>23.86276907712233</v>
      </c>
      <c r="AI51" s="304">
        <v>21.696394622758611</v>
      </c>
      <c r="AJ51" s="304">
        <v>17.616562277761474</v>
      </c>
      <c r="AK51" s="304"/>
      <c r="AL51" s="304">
        <v>8.6949646611082052</v>
      </c>
      <c r="AM51" s="304">
        <v>8.8989015881524907</v>
      </c>
      <c r="AN51" s="304">
        <v>8.4706393531156063</v>
      </c>
    </row>
    <row r="52" spans="1:40" x14ac:dyDescent="0.3">
      <c r="A52" s="13" t="str">
        <f t="shared" si="67"/>
        <v>Professional occupations</v>
      </c>
      <c r="B52" s="304">
        <f t="shared" ref="B52:B59" si="69">SUM(F52,J52,N52,R52,V52,Z52,AD52,AH52,AL52)</f>
        <v>272.50626699354359</v>
      </c>
      <c r="C52" s="304">
        <f t="shared" ref="C52:C59" si="70">SUM(G52,K52,O52,S52,W52,AA52,AE52,AI52,AM52)</f>
        <v>300.14330119343884</v>
      </c>
      <c r="D52" s="304">
        <f t="shared" ref="D52:D59" si="71">SUM(H52,L52,P52,T52,X52,AB52,AF52,AJ52,AN52)</f>
        <v>360.98729628137716</v>
      </c>
      <c r="E52" s="304"/>
      <c r="F52" s="304">
        <v>2.9468580723615601</v>
      </c>
      <c r="G52" s="304">
        <v>3.883009232090763</v>
      </c>
      <c r="H52" s="304">
        <v>5.6254478048371901</v>
      </c>
      <c r="I52" s="304"/>
      <c r="J52" s="304">
        <v>46.976172355957331</v>
      </c>
      <c r="K52" s="304">
        <v>67.660817769830587</v>
      </c>
      <c r="L52" s="304">
        <v>107.7111255931259</v>
      </c>
      <c r="M52" s="304"/>
      <c r="N52" s="304">
        <v>60.250259580815914</v>
      </c>
      <c r="O52" s="304">
        <v>62.935196822739805</v>
      </c>
      <c r="P52" s="304">
        <v>67.847728355546451</v>
      </c>
      <c r="Q52" s="304"/>
      <c r="R52" s="304">
        <v>7.9228634014953219</v>
      </c>
      <c r="S52" s="304">
        <v>7.0306333776137384</v>
      </c>
      <c r="T52" s="304">
        <v>8.4829999029412608</v>
      </c>
      <c r="U52" s="304"/>
      <c r="V52" s="304">
        <v>23.168847120200869</v>
      </c>
      <c r="W52" s="304">
        <v>19.678836793409051</v>
      </c>
      <c r="X52" s="304">
        <v>14.799879281934867</v>
      </c>
      <c r="Y52" s="304"/>
      <c r="Z52" s="304">
        <v>69.799432474309654</v>
      </c>
      <c r="AA52" s="304">
        <v>76.26049015362581</v>
      </c>
      <c r="AB52" s="304">
        <v>96.548390851636725</v>
      </c>
      <c r="AC52" s="304"/>
      <c r="AD52" s="304">
        <v>39.053999911218192</v>
      </c>
      <c r="AE52" s="304">
        <v>39.844759264077176</v>
      </c>
      <c r="AF52" s="304">
        <v>41.191655153671526</v>
      </c>
      <c r="AG52" s="304"/>
      <c r="AH52" s="304">
        <v>16.550213125695549</v>
      </c>
      <c r="AI52" s="304">
        <v>16.965872558145183</v>
      </c>
      <c r="AJ52" s="304">
        <v>14.227312751520069</v>
      </c>
      <c r="AK52" s="304"/>
      <c r="AL52" s="304">
        <v>5.8376209514892103</v>
      </c>
      <c r="AM52" s="304">
        <v>5.8836852219067408</v>
      </c>
      <c r="AN52" s="304">
        <v>4.5527565861631984</v>
      </c>
    </row>
    <row r="53" spans="1:40" x14ac:dyDescent="0.3">
      <c r="A53" s="13" t="str">
        <f t="shared" si="67"/>
        <v>Associate professional occupations</v>
      </c>
      <c r="B53" s="304">
        <f t="shared" si="69"/>
        <v>153.51134777741945</v>
      </c>
      <c r="C53" s="304">
        <f t="shared" si="70"/>
        <v>147.10243207140886</v>
      </c>
      <c r="D53" s="304">
        <f t="shared" si="71"/>
        <v>169.25634546335118</v>
      </c>
      <c r="E53" s="304"/>
      <c r="F53" s="304">
        <v>0.37814706276919113</v>
      </c>
      <c r="G53" s="304">
        <v>0.51244460404195913</v>
      </c>
      <c r="H53" s="304">
        <v>0.92016639725219551</v>
      </c>
      <c r="I53" s="304"/>
      <c r="J53" s="304">
        <v>14.363949339764751</v>
      </c>
      <c r="K53" s="304">
        <v>18.937028281848594</v>
      </c>
      <c r="L53" s="304">
        <v>31.092787046257499</v>
      </c>
      <c r="M53" s="304"/>
      <c r="N53" s="304">
        <v>25.435203883564522</v>
      </c>
      <c r="O53" s="304">
        <v>25.337595345835684</v>
      </c>
      <c r="P53" s="304">
        <v>29.179861811411989</v>
      </c>
      <c r="Q53" s="304"/>
      <c r="R53" s="304">
        <v>11.673973078687148</v>
      </c>
      <c r="S53" s="304">
        <v>12.643241813612738</v>
      </c>
      <c r="T53" s="304">
        <v>16.229076308998764</v>
      </c>
      <c r="U53" s="304"/>
      <c r="V53" s="304">
        <v>21.920509714698987</v>
      </c>
      <c r="W53" s="304">
        <v>19.793187604711115</v>
      </c>
      <c r="X53" s="304">
        <v>22.794944002195436</v>
      </c>
      <c r="Y53" s="304"/>
      <c r="Z53" s="304">
        <v>29.507736431489988</v>
      </c>
      <c r="AA53" s="304">
        <v>23.291284892905505</v>
      </c>
      <c r="AB53" s="304">
        <v>22.328801936626725</v>
      </c>
      <c r="AC53" s="304"/>
      <c r="AD53" s="304">
        <v>27.305872406630741</v>
      </c>
      <c r="AE53" s="304">
        <v>25.055674513792955</v>
      </c>
      <c r="AF53" s="304">
        <v>26.07802566709395</v>
      </c>
      <c r="AG53" s="304"/>
      <c r="AH53" s="304">
        <v>19.758437873135872</v>
      </c>
      <c r="AI53" s="304">
        <v>19.054511487579997</v>
      </c>
      <c r="AJ53" s="304">
        <v>17.521586017119912</v>
      </c>
      <c r="AK53" s="304"/>
      <c r="AL53" s="304">
        <v>3.167517986678237</v>
      </c>
      <c r="AM53" s="304">
        <v>2.4774635270803222</v>
      </c>
      <c r="AN53" s="304">
        <v>3.1110962763946941</v>
      </c>
    </row>
    <row r="54" spans="1:40" x14ac:dyDescent="0.3">
      <c r="A54" s="13" t="str">
        <f t="shared" si="67"/>
        <v>Administrative and secretarial occupations</v>
      </c>
      <c r="B54" s="304">
        <f t="shared" si="69"/>
        <v>167.79127230851569</v>
      </c>
      <c r="C54" s="304">
        <f t="shared" si="70"/>
        <v>164.64948081733147</v>
      </c>
      <c r="D54" s="304">
        <f t="shared" si="71"/>
        <v>160.50135028821404</v>
      </c>
      <c r="E54" s="304"/>
      <c r="F54" s="304">
        <v>1.5033258011568029</v>
      </c>
      <c r="G54" s="304">
        <v>2.1257003497089211</v>
      </c>
      <c r="H54" s="304">
        <v>4.4897269636773069</v>
      </c>
      <c r="I54" s="304"/>
      <c r="J54" s="304">
        <v>9.5651944683199233</v>
      </c>
      <c r="K54" s="304">
        <v>13.679387883736945</v>
      </c>
      <c r="L54" s="304">
        <v>21.276505206626069</v>
      </c>
      <c r="M54" s="304"/>
      <c r="N54" s="304">
        <v>27.290946068608388</v>
      </c>
      <c r="O54" s="304">
        <v>32.720503392220316</v>
      </c>
      <c r="P54" s="304">
        <v>44.181367732430978</v>
      </c>
      <c r="Q54" s="304"/>
      <c r="R54" s="304">
        <v>16.358381617242713</v>
      </c>
      <c r="S54" s="304">
        <v>17.692520281503263</v>
      </c>
      <c r="T54" s="304">
        <v>23.078742174754641</v>
      </c>
      <c r="U54" s="304"/>
      <c r="V54" s="304">
        <v>9.696203645529538</v>
      </c>
      <c r="W54" s="304">
        <v>10.598241852188877</v>
      </c>
      <c r="X54" s="304">
        <v>14.303390172452211</v>
      </c>
      <c r="Y54" s="304"/>
      <c r="Z54" s="304">
        <v>29.127781187470639</v>
      </c>
      <c r="AA54" s="304">
        <v>25.168877189314802</v>
      </c>
      <c r="AB54" s="304">
        <v>16.633050346163383</v>
      </c>
      <c r="AC54" s="304"/>
      <c r="AD54" s="304">
        <v>25.812783086445524</v>
      </c>
      <c r="AE54" s="304">
        <v>19.402303454288376</v>
      </c>
      <c r="AF54" s="304">
        <v>8.3193476481077653</v>
      </c>
      <c r="AG54" s="304"/>
      <c r="AH54" s="304">
        <v>40.657792925764461</v>
      </c>
      <c r="AI54" s="304">
        <v>39.998910659395136</v>
      </c>
      <c r="AJ54" s="304">
        <v>27.255202671165872</v>
      </c>
      <c r="AK54" s="304"/>
      <c r="AL54" s="304">
        <v>7.7788635079776869</v>
      </c>
      <c r="AM54" s="304">
        <v>3.2630357549748128</v>
      </c>
      <c r="AN54" s="304">
        <v>0.96401737283582811</v>
      </c>
    </row>
    <row r="55" spans="1:40" x14ac:dyDescent="0.3">
      <c r="A55" s="13" t="str">
        <f t="shared" si="67"/>
        <v>Skilled trades occupations</v>
      </c>
      <c r="B55" s="304">
        <f t="shared" si="69"/>
        <v>852.95969969070552</v>
      </c>
      <c r="C55" s="304">
        <f t="shared" si="70"/>
        <v>902.27178768607826</v>
      </c>
      <c r="D55" s="304">
        <f t="shared" si="71"/>
        <v>907.14575458327965</v>
      </c>
      <c r="E55" s="304"/>
      <c r="F55" s="304">
        <v>0.15801800834544902</v>
      </c>
      <c r="G55" s="304">
        <v>0.24388604758916721</v>
      </c>
      <c r="H55" s="304">
        <v>0.44201173459772253</v>
      </c>
      <c r="I55" s="304"/>
      <c r="J55" s="304">
        <v>8.5071119543687885</v>
      </c>
      <c r="K55" s="304">
        <v>13.790010766371472</v>
      </c>
      <c r="L55" s="304">
        <v>25.147236203115344</v>
      </c>
      <c r="M55" s="304"/>
      <c r="N55" s="304">
        <v>27.44702936347257</v>
      </c>
      <c r="O55" s="304">
        <v>35.832653527885945</v>
      </c>
      <c r="P55" s="304">
        <v>48.424319920397799</v>
      </c>
      <c r="Q55" s="304"/>
      <c r="R55" s="304">
        <v>17.410645563891517</v>
      </c>
      <c r="S55" s="304">
        <v>21.954638357679112</v>
      </c>
      <c r="T55" s="304">
        <v>29.099503758849949</v>
      </c>
      <c r="U55" s="304"/>
      <c r="V55" s="304">
        <v>46.342743944816931</v>
      </c>
      <c r="W55" s="304">
        <v>58.273561818056642</v>
      </c>
      <c r="X55" s="304">
        <v>79.296929548769697</v>
      </c>
      <c r="Y55" s="304"/>
      <c r="Z55" s="304">
        <v>318.18418497416405</v>
      </c>
      <c r="AA55" s="304">
        <v>321.63550858339744</v>
      </c>
      <c r="AB55" s="304">
        <v>302.68454984171018</v>
      </c>
      <c r="AC55" s="304"/>
      <c r="AD55" s="304">
        <v>261.19608851314302</v>
      </c>
      <c r="AE55" s="304">
        <v>283.01952543826576</v>
      </c>
      <c r="AF55" s="304">
        <v>285.97714067976591</v>
      </c>
      <c r="AG55" s="304"/>
      <c r="AH55" s="304">
        <v>122.46111513406744</v>
      </c>
      <c r="AI55" s="304">
        <v>129.99729042963168</v>
      </c>
      <c r="AJ55" s="304">
        <v>128.94759110303494</v>
      </c>
      <c r="AK55" s="304"/>
      <c r="AL55" s="304">
        <v>51.252762234435693</v>
      </c>
      <c r="AM55" s="304">
        <v>37.524712717201083</v>
      </c>
      <c r="AN55" s="304">
        <v>7.1264717930381867</v>
      </c>
    </row>
    <row r="56" spans="1:40" x14ac:dyDescent="0.3">
      <c r="A56" s="13" t="str">
        <f t="shared" si="67"/>
        <v>Caring, leisure and other service occupations</v>
      </c>
      <c r="B56" s="304">
        <f t="shared" si="69"/>
        <v>6.8748603675463693</v>
      </c>
      <c r="C56" s="304">
        <f t="shared" si="70"/>
        <v>7.1767523009700271</v>
      </c>
      <c r="D56" s="304">
        <f t="shared" si="71"/>
        <v>8.0423408109883017</v>
      </c>
      <c r="E56" s="304"/>
      <c r="F56" s="304">
        <v>7.1959198402752377E-3</v>
      </c>
      <c r="G56" s="304">
        <v>8.7338626871601328E-3</v>
      </c>
      <c r="H56" s="304">
        <v>1.8331441364542105E-2</v>
      </c>
      <c r="I56" s="304"/>
      <c r="J56" s="304">
        <v>0.25106474122357475</v>
      </c>
      <c r="K56" s="304">
        <v>0.33816996941547833</v>
      </c>
      <c r="L56" s="304">
        <v>0.50375904444498942</v>
      </c>
      <c r="M56" s="304"/>
      <c r="N56" s="304">
        <v>0.31899183275844606</v>
      </c>
      <c r="O56" s="304">
        <v>0.3312245954648636</v>
      </c>
      <c r="P56" s="304">
        <v>0.38313481821353979</v>
      </c>
      <c r="Q56" s="304"/>
      <c r="R56" s="304">
        <v>6.0158943409537875E-2</v>
      </c>
      <c r="S56" s="304">
        <v>6.9135014024101077E-2</v>
      </c>
      <c r="T56" s="304">
        <v>8.0771116174048321E-2</v>
      </c>
      <c r="U56" s="304"/>
      <c r="V56" s="304">
        <v>0.23768447914301236</v>
      </c>
      <c r="W56" s="304">
        <v>0.25586571355631149</v>
      </c>
      <c r="X56" s="304">
        <v>0.32242829728123928</v>
      </c>
      <c r="Y56" s="304"/>
      <c r="Z56" s="304">
        <v>2.115309453993079</v>
      </c>
      <c r="AA56" s="304">
        <v>2.5073556463304287</v>
      </c>
      <c r="AB56" s="304">
        <v>3.1760779391736849</v>
      </c>
      <c r="AC56" s="304"/>
      <c r="AD56" s="304">
        <v>0.4273789755113257</v>
      </c>
      <c r="AE56" s="304">
        <v>0.41182689689254465</v>
      </c>
      <c r="AF56" s="304">
        <v>0.48389034962064315</v>
      </c>
      <c r="AG56" s="304"/>
      <c r="AH56" s="304">
        <v>2.0132483837302639</v>
      </c>
      <c r="AI56" s="304">
        <v>1.8259444493852721</v>
      </c>
      <c r="AJ56" s="304">
        <v>2.0050516591948067</v>
      </c>
      <c r="AK56" s="304"/>
      <c r="AL56" s="304">
        <v>1.4438276379368551</v>
      </c>
      <c r="AM56" s="304">
        <v>1.4284961532138676</v>
      </c>
      <c r="AN56" s="304">
        <v>1.0688961455208084</v>
      </c>
    </row>
    <row r="57" spans="1:40" x14ac:dyDescent="0.3">
      <c r="A57" s="13" t="str">
        <f t="shared" si="67"/>
        <v>Sales and customer service occupations</v>
      </c>
      <c r="B57" s="304">
        <f t="shared" si="69"/>
        <v>38.351444601117549</v>
      </c>
      <c r="C57" s="304">
        <f t="shared" si="70"/>
        <v>43.819359224474653</v>
      </c>
      <c r="D57" s="304">
        <f t="shared" si="71"/>
        <v>47.505348141353956</v>
      </c>
      <c r="E57" s="304"/>
      <c r="F57" s="304">
        <v>0.10621136049256316</v>
      </c>
      <c r="G57" s="304">
        <v>0.17867961479582864</v>
      </c>
      <c r="H57" s="304">
        <v>0.36585115037317723</v>
      </c>
      <c r="I57" s="304"/>
      <c r="J57" s="304">
        <v>2.4998052957199506</v>
      </c>
      <c r="K57" s="304">
        <v>3.248729449930714</v>
      </c>
      <c r="L57" s="304">
        <v>4.5611387280764113</v>
      </c>
      <c r="M57" s="304"/>
      <c r="N57" s="304">
        <v>6.4718279372881344</v>
      </c>
      <c r="O57" s="304">
        <v>8.0575932437263091</v>
      </c>
      <c r="P57" s="304">
        <v>10.117770003150094</v>
      </c>
      <c r="Q57" s="304"/>
      <c r="R57" s="304">
        <v>1.7944328390642836</v>
      </c>
      <c r="S57" s="304">
        <v>2.3338366345997428</v>
      </c>
      <c r="T57" s="304">
        <v>2.9782472062255358</v>
      </c>
      <c r="U57" s="304"/>
      <c r="V57" s="304">
        <v>2.1817265539153081</v>
      </c>
      <c r="W57" s="304">
        <v>2.6785624024462495</v>
      </c>
      <c r="X57" s="304">
        <v>3.2255714585990645</v>
      </c>
      <c r="Y57" s="304"/>
      <c r="Z57" s="304">
        <v>14.730079457935004</v>
      </c>
      <c r="AA57" s="304">
        <v>16.717760029903722</v>
      </c>
      <c r="AB57" s="304">
        <v>19.842458829326624</v>
      </c>
      <c r="AC57" s="304"/>
      <c r="AD57" s="304">
        <v>2.4876163004461458</v>
      </c>
      <c r="AE57" s="304">
        <v>1.7988561735560094</v>
      </c>
      <c r="AF57" s="304">
        <v>0.86715939905159389</v>
      </c>
      <c r="AG57" s="304"/>
      <c r="AH57" s="304">
        <v>4.065693550194351</v>
      </c>
      <c r="AI57" s="304">
        <v>4.4087879106565939</v>
      </c>
      <c r="AJ57" s="304">
        <v>1.5117191842742195</v>
      </c>
      <c r="AK57" s="304"/>
      <c r="AL57" s="304">
        <v>4.0140513060618064</v>
      </c>
      <c r="AM57" s="304">
        <v>4.3965537648594823</v>
      </c>
      <c r="AN57" s="304">
        <v>4.0354321822772397</v>
      </c>
    </row>
    <row r="58" spans="1:40" x14ac:dyDescent="0.3">
      <c r="A58" s="13" t="str">
        <f t="shared" si="67"/>
        <v>Process, plant and machine operatives</v>
      </c>
      <c r="B58" s="304">
        <f t="shared" si="69"/>
        <v>152.57164424490651</v>
      </c>
      <c r="C58" s="304">
        <f t="shared" si="70"/>
        <v>182.16206215723335</v>
      </c>
      <c r="D58" s="304">
        <f t="shared" si="71"/>
        <v>195.58437909478278</v>
      </c>
      <c r="E58" s="304"/>
      <c r="F58" s="304">
        <v>0.42559609993658248</v>
      </c>
      <c r="G58" s="304">
        <v>0.80846845106148957</v>
      </c>
      <c r="H58" s="304">
        <v>1.4811858361293535</v>
      </c>
      <c r="I58" s="304"/>
      <c r="J58" s="304">
        <v>1.6747039205137262</v>
      </c>
      <c r="K58" s="304">
        <v>3.079484764499143</v>
      </c>
      <c r="L58" s="304">
        <v>6.1437169227342698</v>
      </c>
      <c r="M58" s="304"/>
      <c r="N58" s="304">
        <v>2.6790695596362477</v>
      </c>
      <c r="O58" s="304">
        <v>3.8187831158862031</v>
      </c>
      <c r="P58" s="304">
        <v>6.192907763899929</v>
      </c>
      <c r="Q58" s="304"/>
      <c r="R58" s="304">
        <v>3.0346691098802956</v>
      </c>
      <c r="S58" s="304">
        <v>4.432929707778321</v>
      </c>
      <c r="T58" s="304">
        <v>7.114621912151569</v>
      </c>
      <c r="U58" s="304"/>
      <c r="V58" s="304">
        <v>7.6353121292022585</v>
      </c>
      <c r="W58" s="304">
        <v>10.458746688812047</v>
      </c>
      <c r="X58" s="304">
        <v>14.122383983009833</v>
      </c>
      <c r="Y58" s="304"/>
      <c r="Z58" s="304">
        <v>40.842553641969353</v>
      </c>
      <c r="AA58" s="304">
        <v>52.41606172172466</v>
      </c>
      <c r="AB58" s="304">
        <v>65.011215146642883</v>
      </c>
      <c r="AC58" s="304"/>
      <c r="AD58" s="304">
        <v>52.928278076821577</v>
      </c>
      <c r="AE58" s="304">
        <v>65.663889617555668</v>
      </c>
      <c r="AF58" s="304">
        <v>71.869113466402382</v>
      </c>
      <c r="AG58" s="304"/>
      <c r="AH58" s="304">
        <v>34.954267733960947</v>
      </c>
      <c r="AI58" s="304">
        <v>34.830941470669309</v>
      </c>
      <c r="AJ58" s="304">
        <v>21.715363661000175</v>
      </c>
      <c r="AK58" s="304"/>
      <c r="AL58" s="304">
        <v>8.3971939729855141</v>
      </c>
      <c r="AM58" s="304">
        <v>6.6527566192464942</v>
      </c>
      <c r="AN58" s="304">
        <v>1.9338704028124087</v>
      </c>
    </row>
    <row r="59" spans="1:40" x14ac:dyDescent="0.3">
      <c r="A59" s="13" t="str">
        <f t="shared" si="67"/>
        <v>Elementary occupations</v>
      </c>
      <c r="B59" s="304">
        <f t="shared" si="69"/>
        <v>108.03594947751643</v>
      </c>
      <c r="C59" s="304">
        <f t="shared" si="70"/>
        <v>105.39591029199963</v>
      </c>
      <c r="D59" s="304">
        <f t="shared" si="71"/>
        <v>114.74675653494099</v>
      </c>
      <c r="E59" s="304"/>
      <c r="F59" s="304">
        <v>1.1642176277031666E-2</v>
      </c>
      <c r="G59" s="304">
        <v>1.7811132901704441E-2</v>
      </c>
      <c r="H59" s="304">
        <v>3.1345454568110623E-2</v>
      </c>
      <c r="I59" s="304"/>
      <c r="J59" s="304">
        <v>1.2452248935747599</v>
      </c>
      <c r="K59" s="304">
        <v>2.0057747536153978</v>
      </c>
      <c r="L59" s="304">
        <v>3.8561661684407378</v>
      </c>
      <c r="M59" s="304"/>
      <c r="N59" s="304">
        <v>2.8109422247029614</v>
      </c>
      <c r="O59" s="304">
        <v>3.2563578549012511</v>
      </c>
      <c r="P59" s="304">
        <v>3.593579911384686</v>
      </c>
      <c r="Q59" s="304"/>
      <c r="R59" s="304">
        <v>0.66497312661915076</v>
      </c>
      <c r="S59" s="304">
        <v>0.71757830143963774</v>
      </c>
      <c r="T59" s="304">
        <v>0.73749215186551509</v>
      </c>
      <c r="U59" s="304"/>
      <c r="V59" s="304">
        <v>5.2239691727335664</v>
      </c>
      <c r="W59" s="304">
        <v>6.4336352735225644</v>
      </c>
      <c r="X59" s="304">
        <v>7.6511552740092617</v>
      </c>
      <c r="Y59" s="304"/>
      <c r="Z59" s="304">
        <v>27.282129386194278</v>
      </c>
      <c r="AA59" s="304">
        <v>31.546639817291176</v>
      </c>
      <c r="AB59" s="304">
        <v>43.595932205786738</v>
      </c>
      <c r="AC59" s="304"/>
      <c r="AD59" s="304">
        <v>31.092595087048373</v>
      </c>
      <c r="AE59" s="304">
        <v>31.226862376402181</v>
      </c>
      <c r="AF59" s="304">
        <v>33.559308469610421</v>
      </c>
      <c r="AG59" s="304"/>
      <c r="AH59" s="304">
        <v>29.515381164932471</v>
      </c>
      <c r="AI59" s="304">
        <v>27.097301149028983</v>
      </c>
      <c r="AJ59" s="304">
        <v>20.833184878922296</v>
      </c>
      <c r="AK59" s="304"/>
      <c r="AL59" s="304">
        <v>10.189092245433839</v>
      </c>
      <c r="AM59" s="304">
        <v>3.0939496328967406</v>
      </c>
      <c r="AN59" s="304">
        <v>0.88859202035322948</v>
      </c>
    </row>
    <row r="60" spans="1:40" x14ac:dyDescent="0.3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3">
      <c r="A62" s="13" t="str">
        <f t="shared" ref="A62:A71" si="72">A8</f>
        <v>All occupations</v>
      </c>
      <c r="B62" s="305">
        <f>SUM(B63:B71)</f>
        <v>7878.5050000484935</v>
      </c>
      <c r="C62" s="305">
        <f>SUM(C63:C71)</f>
        <v>8105.101000162811</v>
      </c>
      <c r="D62" s="305">
        <f>SUM(D63:D71)</f>
        <v>8490.794999984877</v>
      </c>
      <c r="E62" s="304"/>
      <c r="F62" s="305">
        <f>SUM(F63:F71)</f>
        <v>28.455201298439388</v>
      </c>
      <c r="G62" s="305">
        <f>SUM(G63:G71)</f>
        <v>42.276467568156903</v>
      </c>
      <c r="H62" s="305">
        <f>SUM(H63:H71)</f>
        <v>75.637216558937624</v>
      </c>
      <c r="I62" s="304"/>
      <c r="J62" s="305">
        <f>SUM(J63:J71)</f>
        <v>347.26039528341499</v>
      </c>
      <c r="K62" s="305">
        <f>SUM(K63:K71)</f>
        <v>493.94949316957593</v>
      </c>
      <c r="L62" s="305">
        <f>SUM(L63:L71)</f>
        <v>881.26413083495072</v>
      </c>
      <c r="M62" s="304"/>
      <c r="N62" s="305">
        <f>SUM(N63:N71)</f>
        <v>1138.5717514539585</v>
      </c>
      <c r="O62" s="305">
        <f>SUM(O63:O71)</f>
        <v>1315.4584437715887</v>
      </c>
      <c r="P62" s="305">
        <f>SUM(P63:P71)</f>
        <v>1750.2664466374356</v>
      </c>
      <c r="Q62" s="304"/>
      <c r="R62" s="305">
        <f>SUM(R63:R71)</f>
        <v>346.45181116762308</v>
      </c>
      <c r="S62" s="305">
        <f>SUM(S63:S71)</f>
        <v>388.49716386110526</v>
      </c>
      <c r="T62" s="305">
        <f>SUM(T63:T71)</f>
        <v>514.21119304096987</v>
      </c>
      <c r="U62" s="304"/>
      <c r="V62" s="305">
        <f>SUM(V63:V71)</f>
        <v>395.89611927892099</v>
      </c>
      <c r="W62" s="305">
        <f>SUM(W63:W71)</f>
        <v>437.79998085353719</v>
      </c>
      <c r="X62" s="305">
        <f>SUM(X63:X71)</f>
        <v>559.3533882424374</v>
      </c>
      <c r="Y62" s="304"/>
      <c r="Z62" s="305">
        <f>SUM(Z63:Z71)</f>
        <v>1834.9435288846387</v>
      </c>
      <c r="AA62" s="305">
        <f>SUM(AA63:AA71)</f>
        <v>1873.5294608608276</v>
      </c>
      <c r="AB62" s="305">
        <f>SUM(AB63:AB71)</f>
        <v>2006.632955111545</v>
      </c>
      <c r="AC62" s="304"/>
      <c r="AD62" s="305">
        <f>SUM(AD63:AD71)</f>
        <v>1944.1970675253617</v>
      </c>
      <c r="AE62" s="305">
        <f>SUM(AE63:AE71)</f>
        <v>1925.0031912224881</v>
      </c>
      <c r="AF62" s="305">
        <f>SUM(AF63:AF71)</f>
        <v>1695.2645957429033</v>
      </c>
      <c r="AG62" s="304"/>
      <c r="AH62" s="305">
        <f>SUM(AH63:AH71)</f>
        <v>1358.5081298799155</v>
      </c>
      <c r="AI62" s="305">
        <f>SUM(AI63:AI71)</f>
        <v>1237.0391471930229</v>
      </c>
      <c r="AJ62" s="305">
        <f>SUM(AJ63:AJ71)</f>
        <v>727.94500065771115</v>
      </c>
      <c r="AK62" s="304"/>
      <c r="AL62" s="305">
        <f>SUM(AL63:AL71)</f>
        <v>484.22099527622152</v>
      </c>
      <c r="AM62" s="305">
        <f>SUM(AM63:AM71)</f>
        <v>391.54765166250797</v>
      </c>
      <c r="AN62" s="305">
        <f>SUM(AN63:AN71)</f>
        <v>280.22007315798635</v>
      </c>
    </row>
    <row r="63" spans="1:40" x14ac:dyDescent="0.3">
      <c r="A63" s="13" t="str">
        <f t="shared" si="72"/>
        <v>Managers, directors and senior officials</v>
      </c>
      <c r="B63" s="304">
        <f>SUM(F63,J63,N63,R63,V63,Z63,AD63,AH63,AL63)</f>
        <v>1016.6266533966568</v>
      </c>
      <c r="C63" s="304">
        <f t="shared" ref="C63:C71" si="73">SUM(G63,K63,O63,S63,W63,AA63,AE63,AI63,AM63)</f>
        <v>1076.994227746434</v>
      </c>
      <c r="D63" s="304">
        <f t="shared" ref="D63:D71" si="74">SUM(H63,L63,P63,T63,X63,AB63,AF63,AJ63,AN63)</f>
        <v>1244.2550975454849</v>
      </c>
      <c r="E63" s="304"/>
      <c r="F63" s="304">
        <v>4.9127833415284927</v>
      </c>
      <c r="G63" s="304">
        <v>7.4614384290651907</v>
      </c>
      <c r="H63" s="304">
        <v>13.71140604669877</v>
      </c>
      <c r="I63" s="304"/>
      <c r="J63" s="304">
        <v>70.589805013101923</v>
      </c>
      <c r="K63" s="304">
        <v>99.16111154271691</v>
      </c>
      <c r="L63" s="304">
        <v>175.73344178134144</v>
      </c>
      <c r="M63" s="304"/>
      <c r="N63" s="304">
        <v>238.35023362166655</v>
      </c>
      <c r="O63" s="304">
        <v>273.75009636784694</v>
      </c>
      <c r="P63" s="304">
        <v>360.37493293747502</v>
      </c>
      <c r="Q63" s="304"/>
      <c r="R63" s="304">
        <v>49.24585595103251</v>
      </c>
      <c r="S63" s="304">
        <v>53.077457337863166</v>
      </c>
      <c r="T63" s="304">
        <v>69.986146838169404</v>
      </c>
      <c r="U63" s="304"/>
      <c r="V63" s="304">
        <v>63.476249989124071</v>
      </c>
      <c r="W63" s="304">
        <v>67.027118417713481</v>
      </c>
      <c r="X63" s="304">
        <v>80.003739641294047</v>
      </c>
      <c r="Y63" s="304"/>
      <c r="Z63" s="304">
        <v>202.82954740203334</v>
      </c>
      <c r="AA63" s="304">
        <v>201.75437411646661</v>
      </c>
      <c r="AB63" s="304">
        <v>231.95269205113416</v>
      </c>
      <c r="AC63" s="304"/>
      <c r="AD63" s="304">
        <v>204.96711861028882</v>
      </c>
      <c r="AE63" s="304">
        <v>199.95135956999169</v>
      </c>
      <c r="AF63" s="304">
        <v>173.19969775031694</v>
      </c>
      <c r="AG63" s="304"/>
      <c r="AH63" s="304">
        <v>157.44514134819065</v>
      </c>
      <c r="AI63" s="304">
        <v>152.61537466100324</v>
      </c>
      <c r="AJ63" s="304">
        <v>116.98047956237275</v>
      </c>
      <c r="AK63" s="304"/>
      <c r="AL63" s="304">
        <v>24.80991811969043</v>
      </c>
      <c r="AM63" s="304">
        <v>22.195897303766802</v>
      </c>
      <c r="AN63" s="304">
        <v>22.312560936682488</v>
      </c>
    </row>
    <row r="64" spans="1:40" x14ac:dyDescent="0.3">
      <c r="A64" s="13" t="str">
        <f t="shared" si="72"/>
        <v>Professional occupations</v>
      </c>
      <c r="B64" s="304">
        <f t="shared" ref="B64:B71" si="75">SUM(F64,J64,N64,R64,V64,Z64,AD64,AH64,AL64)</f>
        <v>634.86320589974639</v>
      </c>
      <c r="C64" s="304">
        <f t="shared" si="73"/>
        <v>705.58239585777824</v>
      </c>
      <c r="D64" s="304">
        <f t="shared" si="74"/>
        <v>818.30656952644495</v>
      </c>
      <c r="E64" s="304"/>
      <c r="F64" s="304">
        <v>11.125214473757721</v>
      </c>
      <c r="G64" s="304">
        <v>16.404193918656052</v>
      </c>
      <c r="H64" s="304">
        <v>28.466993590642844</v>
      </c>
      <c r="I64" s="304"/>
      <c r="J64" s="304">
        <v>77.818062507028998</v>
      </c>
      <c r="K64" s="304">
        <v>109.47095399285361</v>
      </c>
      <c r="L64" s="304">
        <v>175.90637431327005</v>
      </c>
      <c r="M64" s="304"/>
      <c r="N64" s="304">
        <v>169.75582615730821</v>
      </c>
      <c r="O64" s="304">
        <v>194.39253895788161</v>
      </c>
      <c r="P64" s="304">
        <v>241.66620824383213</v>
      </c>
      <c r="Q64" s="304"/>
      <c r="R64" s="304">
        <v>27.405066017927684</v>
      </c>
      <c r="S64" s="304">
        <v>28.221901633350804</v>
      </c>
      <c r="T64" s="304">
        <v>30.929266635566332</v>
      </c>
      <c r="U64" s="304"/>
      <c r="V64" s="304">
        <v>38.707626472168606</v>
      </c>
      <c r="W64" s="304">
        <v>41.423182610805391</v>
      </c>
      <c r="X64" s="304">
        <v>49.41833084592075</v>
      </c>
      <c r="Y64" s="304"/>
      <c r="Z64" s="304">
        <v>129.57732156286349</v>
      </c>
      <c r="AA64" s="304">
        <v>140.19060560311746</v>
      </c>
      <c r="AB64" s="304">
        <v>156.99357949637246</v>
      </c>
      <c r="AC64" s="304"/>
      <c r="AD64" s="304">
        <v>99.142258321148105</v>
      </c>
      <c r="AE64" s="304">
        <v>95.477606285417735</v>
      </c>
      <c r="AF64" s="304">
        <v>76.227318227090009</v>
      </c>
      <c r="AG64" s="304"/>
      <c r="AH64" s="304">
        <v>66.737120161361403</v>
      </c>
      <c r="AI64" s="304">
        <v>65.209184219101672</v>
      </c>
      <c r="AJ64" s="304">
        <v>40.181482261642856</v>
      </c>
      <c r="AK64" s="304"/>
      <c r="AL64" s="304">
        <v>14.594710226182132</v>
      </c>
      <c r="AM64" s="304">
        <v>14.79222863659392</v>
      </c>
      <c r="AN64" s="304">
        <v>18.517015912107578</v>
      </c>
    </row>
    <row r="65" spans="1:40" x14ac:dyDescent="0.3">
      <c r="A65" s="13" t="str">
        <f t="shared" si="72"/>
        <v>Associate professional occupations</v>
      </c>
      <c r="B65" s="304">
        <f t="shared" si="75"/>
        <v>614.72626483031138</v>
      </c>
      <c r="C65" s="304">
        <f t="shared" si="73"/>
        <v>608.75944606107021</v>
      </c>
      <c r="D65" s="304">
        <f t="shared" si="74"/>
        <v>674.97220019556653</v>
      </c>
      <c r="E65" s="304"/>
      <c r="F65" s="304">
        <v>4.4249964303375409</v>
      </c>
      <c r="G65" s="304">
        <v>5.9295443363475835</v>
      </c>
      <c r="H65" s="304">
        <v>10.353880610163975</v>
      </c>
      <c r="I65" s="304"/>
      <c r="J65" s="304">
        <v>38.70542597691486</v>
      </c>
      <c r="K65" s="304">
        <v>49.511349543964066</v>
      </c>
      <c r="L65" s="304">
        <v>80.349972915614245</v>
      </c>
      <c r="M65" s="304"/>
      <c r="N65" s="304">
        <v>131.86796428009669</v>
      </c>
      <c r="O65" s="304">
        <v>137.86324581089227</v>
      </c>
      <c r="P65" s="304">
        <v>169.84521452713744</v>
      </c>
      <c r="Q65" s="304"/>
      <c r="R65" s="304">
        <v>31.570993374655892</v>
      </c>
      <c r="S65" s="304">
        <v>32.584690567522458</v>
      </c>
      <c r="T65" s="304">
        <v>41.827332221559097</v>
      </c>
      <c r="U65" s="304"/>
      <c r="V65" s="304">
        <v>40.078873376165134</v>
      </c>
      <c r="W65" s="304">
        <v>40.800383503946883</v>
      </c>
      <c r="X65" s="304">
        <v>49.174101026482568</v>
      </c>
      <c r="Y65" s="304"/>
      <c r="Z65" s="304">
        <v>142.91401046702586</v>
      </c>
      <c r="AA65" s="304">
        <v>138.32630420813493</v>
      </c>
      <c r="AB65" s="304">
        <v>153.86483140151827</v>
      </c>
      <c r="AC65" s="304"/>
      <c r="AD65" s="304">
        <v>129.07003882803343</v>
      </c>
      <c r="AE65" s="304">
        <v>123.76994135256051</v>
      </c>
      <c r="AF65" s="304">
        <v>117.01338671277985</v>
      </c>
      <c r="AG65" s="304"/>
      <c r="AH65" s="304">
        <v>76.465507440025704</v>
      </c>
      <c r="AI65" s="304">
        <v>64.029422580195842</v>
      </c>
      <c r="AJ65" s="304">
        <v>34.647413473869236</v>
      </c>
      <c r="AK65" s="304"/>
      <c r="AL65" s="304">
        <v>19.628454657056299</v>
      </c>
      <c r="AM65" s="304">
        <v>15.944564157505587</v>
      </c>
      <c r="AN65" s="304">
        <v>17.896067306441747</v>
      </c>
    </row>
    <row r="66" spans="1:40" x14ac:dyDescent="0.3">
      <c r="A66" s="13" t="str">
        <f t="shared" si="72"/>
        <v>Administrative and secretarial occupations</v>
      </c>
      <c r="B66" s="304">
        <f t="shared" si="75"/>
        <v>693.22599668700479</v>
      </c>
      <c r="C66" s="304">
        <f t="shared" si="73"/>
        <v>685.55247471396228</v>
      </c>
      <c r="D66" s="304">
        <f t="shared" si="74"/>
        <v>708.48427071018398</v>
      </c>
      <c r="E66" s="304"/>
      <c r="F66" s="304">
        <v>1.8072281214843768</v>
      </c>
      <c r="G66" s="304">
        <v>2.7089265126969106</v>
      </c>
      <c r="H66" s="304">
        <v>5.050637757152292</v>
      </c>
      <c r="I66" s="304"/>
      <c r="J66" s="304">
        <v>31.75567062454504</v>
      </c>
      <c r="K66" s="304">
        <v>43.295262946133192</v>
      </c>
      <c r="L66" s="304">
        <v>75.283226596038915</v>
      </c>
      <c r="M66" s="304"/>
      <c r="N66" s="304">
        <v>110.66146408443703</v>
      </c>
      <c r="O66" s="304">
        <v>125.95081666628838</v>
      </c>
      <c r="P66" s="304">
        <v>175.85458081493522</v>
      </c>
      <c r="Q66" s="304"/>
      <c r="R66" s="304">
        <v>37.392485761556891</v>
      </c>
      <c r="S66" s="304">
        <v>41.342743497701598</v>
      </c>
      <c r="T66" s="304">
        <v>52.048642334250339</v>
      </c>
      <c r="U66" s="304"/>
      <c r="V66" s="304">
        <v>33.476322374331957</v>
      </c>
      <c r="W66" s="304">
        <v>34.256554021261671</v>
      </c>
      <c r="X66" s="304">
        <v>43.494444266752922</v>
      </c>
      <c r="Y66" s="304"/>
      <c r="Z66" s="304">
        <v>172.09074736400396</v>
      </c>
      <c r="AA66" s="304">
        <v>171.98351489006677</v>
      </c>
      <c r="AB66" s="304">
        <v>173.41809854127752</v>
      </c>
      <c r="AC66" s="304"/>
      <c r="AD66" s="304">
        <v>198.8164267199642</v>
      </c>
      <c r="AE66" s="304">
        <v>192.22728050579261</v>
      </c>
      <c r="AF66" s="304">
        <v>155.9543631843076</v>
      </c>
      <c r="AG66" s="304"/>
      <c r="AH66" s="304">
        <v>89.418891251202737</v>
      </c>
      <c r="AI66" s="304">
        <v>59.44701577379066</v>
      </c>
      <c r="AJ66" s="304">
        <v>17.669818514857951</v>
      </c>
      <c r="AK66" s="304"/>
      <c r="AL66" s="304">
        <v>17.806760385478739</v>
      </c>
      <c r="AM66" s="304">
        <v>14.340359900230535</v>
      </c>
      <c r="AN66" s="304">
        <v>9.7104587006112144</v>
      </c>
    </row>
    <row r="67" spans="1:40" x14ac:dyDescent="0.3">
      <c r="A67" s="13" t="str">
        <f t="shared" si="72"/>
        <v>Skilled trades occupations</v>
      </c>
      <c r="B67" s="304">
        <f t="shared" si="75"/>
        <v>651.15589730570593</v>
      </c>
      <c r="C67" s="304">
        <f t="shared" si="73"/>
        <v>655.46066262461943</v>
      </c>
      <c r="D67" s="304">
        <f t="shared" si="74"/>
        <v>657.28861644848359</v>
      </c>
      <c r="E67" s="304"/>
      <c r="F67" s="304">
        <v>0.40367700462990591</v>
      </c>
      <c r="G67" s="304">
        <v>0.54996727633542308</v>
      </c>
      <c r="H67" s="304">
        <v>1.0572689629141636</v>
      </c>
      <c r="I67" s="304"/>
      <c r="J67" s="304">
        <v>13.436993439335874</v>
      </c>
      <c r="K67" s="304">
        <v>21.089498939969651</v>
      </c>
      <c r="L67" s="304">
        <v>43.192727149950223</v>
      </c>
      <c r="M67" s="304"/>
      <c r="N67" s="304">
        <v>42.18668429203256</v>
      </c>
      <c r="O67" s="304">
        <v>53.65576153563805</v>
      </c>
      <c r="P67" s="304">
        <v>72.775451330350393</v>
      </c>
      <c r="Q67" s="304"/>
      <c r="R67" s="304">
        <v>20.525816212835831</v>
      </c>
      <c r="S67" s="304">
        <v>22.762996128442413</v>
      </c>
      <c r="T67" s="304">
        <v>29.131782223859787</v>
      </c>
      <c r="U67" s="304"/>
      <c r="V67" s="304">
        <v>33.82176164364477</v>
      </c>
      <c r="W67" s="304">
        <v>39.184398260661297</v>
      </c>
      <c r="X67" s="304">
        <v>49.23721399625186</v>
      </c>
      <c r="Y67" s="304"/>
      <c r="Z67" s="304">
        <v>212.78729649058155</v>
      </c>
      <c r="AA67" s="304">
        <v>219.70229753201599</v>
      </c>
      <c r="AB67" s="304">
        <v>225.1427255627857</v>
      </c>
      <c r="AC67" s="304"/>
      <c r="AD67" s="304">
        <v>156.40605529767151</v>
      </c>
      <c r="AE67" s="304">
        <v>140.0005438653497</v>
      </c>
      <c r="AF67" s="304">
        <v>125.89721258428207</v>
      </c>
      <c r="AG67" s="304"/>
      <c r="AH67" s="304">
        <v>119.48349771337006</v>
      </c>
      <c r="AI67" s="304">
        <v>117.26167613272122</v>
      </c>
      <c r="AJ67" s="304">
        <v>85.017003247644553</v>
      </c>
      <c r="AK67" s="304"/>
      <c r="AL67" s="304">
        <v>52.104115211603975</v>
      </c>
      <c r="AM67" s="304">
        <v>41.253522953485636</v>
      </c>
      <c r="AN67" s="304">
        <v>25.837231390444863</v>
      </c>
    </row>
    <row r="68" spans="1:40" x14ac:dyDescent="0.3">
      <c r="A68" s="13" t="str">
        <f t="shared" si="72"/>
        <v>Caring, leisure and other service occupations</v>
      </c>
      <c r="B68" s="304">
        <f t="shared" si="75"/>
        <v>242.30244555387083</v>
      </c>
      <c r="C68" s="304">
        <f t="shared" si="73"/>
        <v>253.66089894386866</v>
      </c>
      <c r="D68" s="304">
        <f t="shared" si="74"/>
        <v>291.93791226697181</v>
      </c>
      <c r="E68" s="304"/>
      <c r="F68" s="304">
        <v>0.3474047857821459</v>
      </c>
      <c r="G68" s="304">
        <v>0.54654535044484631</v>
      </c>
      <c r="H68" s="304">
        <v>1.0383996496201484</v>
      </c>
      <c r="I68" s="304"/>
      <c r="J68" s="304">
        <v>6.44922240191414</v>
      </c>
      <c r="K68" s="304">
        <v>9.4408171270876036</v>
      </c>
      <c r="L68" s="304">
        <v>17.295781375844676</v>
      </c>
      <c r="M68" s="304"/>
      <c r="N68" s="304">
        <v>32.009567854453707</v>
      </c>
      <c r="O68" s="304">
        <v>36.43936860738112</v>
      </c>
      <c r="P68" s="304">
        <v>46.537310038012073</v>
      </c>
      <c r="Q68" s="304"/>
      <c r="R68" s="304">
        <v>24.536059776833731</v>
      </c>
      <c r="S68" s="304">
        <v>28.234439737815059</v>
      </c>
      <c r="T68" s="304">
        <v>40.713367332687284</v>
      </c>
      <c r="U68" s="304"/>
      <c r="V68" s="304">
        <v>24.827500619118869</v>
      </c>
      <c r="W68" s="304">
        <v>28.923168825002833</v>
      </c>
      <c r="X68" s="304">
        <v>41.240774653557054</v>
      </c>
      <c r="Y68" s="304"/>
      <c r="Z68" s="304">
        <v>46.407135539173879</v>
      </c>
      <c r="AA68" s="304">
        <v>47.510919258868938</v>
      </c>
      <c r="AB68" s="304">
        <v>52.652106713398304</v>
      </c>
      <c r="AC68" s="304"/>
      <c r="AD68" s="304">
        <v>58.200189203177779</v>
      </c>
      <c r="AE68" s="304">
        <v>57.793560983531336</v>
      </c>
      <c r="AF68" s="304">
        <v>56.93175661014785</v>
      </c>
      <c r="AG68" s="304"/>
      <c r="AH68" s="304">
        <v>32.314873477197025</v>
      </c>
      <c r="AI68" s="304">
        <v>30.437061184818251</v>
      </c>
      <c r="AJ68" s="304">
        <v>24.589605500169441</v>
      </c>
      <c r="AK68" s="304"/>
      <c r="AL68" s="304">
        <v>17.210491896219541</v>
      </c>
      <c r="AM68" s="304">
        <v>14.335017868918682</v>
      </c>
      <c r="AN68" s="304">
        <v>10.938810393534975</v>
      </c>
    </row>
    <row r="69" spans="1:40" x14ac:dyDescent="0.3">
      <c r="A69" s="13" t="str">
        <f t="shared" si="72"/>
        <v>Sales and customer service occupations</v>
      </c>
      <c r="B69" s="304">
        <f t="shared" si="75"/>
        <v>1628.3375572305067</v>
      </c>
      <c r="C69" s="304">
        <f t="shared" si="73"/>
        <v>1570.4903746301786</v>
      </c>
      <c r="D69" s="304">
        <f t="shared" si="74"/>
        <v>1537.863000940539</v>
      </c>
      <c r="E69" s="304"/>
      <c r="F69" s="304">
        <v>2.0895589677374486</v>
      </c>
      <c r="G69" s="304">
        <v>2.9946421702900539</v>
      </c>
      <c r="H69" s="304">
        <v>4.8464981714244448</v>
      </c>
      <c r="I69" s="304"/>
      <c r="J69" s="304">
        <v>47.870292828463107</v>
      </c>
      <c r="K69" s="304">
        <v>67.808452085420654</v>
      </c>
      <c r="L69" s="304">
        <v>124.51854431387524</v>
      </c>
      <c r="M69" s="304"/>
      <c r="N69" s="304">
        <v>200.15788863511952</v>
      </c>
      <c r="O69" s="304">
        <v>229.46218294887203</v>
      </c>
      <c r="P69" s="304">
        <v>311.12849428015306</v>
      </c>
      <c r="Q69" s="304"/>
      <c r="R69" s="304">
        <v>64.496996820705647</v>
      </c>
      <c r="S69" s="304">
        <v>71.762685421171099</v>
      </c>
      <c r="T69" s="304">
        <v>93.842961946731023</v>
      </c>
      <c r="U69" s="304"/>
      <c r="V69" s="304">
        <v>51.988306775066292</v>
      </c>
      <c r="W69" s="304">
        <v>53.065257320456553</v>
      </c>
      <c r="X69" s="304">
        <v>64.436723321024218</v>
      </c>
      <c r="Y69" s="304"/>
      <c r="Z69" s="304">
        <v>458.40852647742167</v>
      </c>
      <c r="AA69" s="304">
        <v>455.70587864841508</v>
      </c>
      <c r="AB69" s="304">
        <v>489.48071915907678</v>
      </c>
      <c r="AC69" s="304"/>
      <c r="AD69" s="304">
        <v>418.95541468961824</v>
      </c>
      <c r="AE69" s="304">
        <v>381.97574727359392</v>
      </c>
      <c r="AF69" s="304">
        <v>307.10520797112895</v>
      </c>
      <c r="AG69" s="304"/>
      <c r="AH69" s="304">
        <v>284.16822460090481</v>
      </c>
      <c r="AI69" s="304">
        <v>234.48624042021413</v>
      </c>
      <c r="AJ69" s="304">
        <v>96.688771334148868</v>
      </c>
      <c r="AK69" s="304"/>
      <c r="AL69" s="304">
        <v>100.20234743547009</v>
      </c>
      <c r="AM69" s="304">
        <v>73.229288341745189</v>
      </c>
      <c r="AN69" s="304">
        <v>45.81508044297636</v>
      </c>
    </row>
    <row r="70" spans="1:40" x14ac:dyDescent="0.3">
      <c r="A70" s="13" t="str">
        <f t="shared" si="72"/>
        <v>Process, plant and machine operatives</v>
      </c>
      <c r="B70" s="304">
        <f t="shared" si="75"/>
        <v>836.51407483355786</v>
      </c>
      <c r="C70" s="304">
        <f t="shared" si="73"/>
        <v>941.84848264460993</v>
      </c>
      <c r="D70" s="304">
        <f t="shared" si="74"/>
        <v>955.02755078143548</v>
      </c>
      <c r="E70" s="304"/>
      <c r="F70" s="304">
        <v>2.7956239679492985</v>
      </c>
      <c r="G70" s="304">
        <v>4.9179713902834594</v>
      </c>
      <c r="H70" s="304">
        <v>9.8794143780540189</v>
      </c>
      <c r="I70" s="304"/>
      <c r="J70" s="304">
        <v>13.781711442933542</v>
      </c>
      <c r="K70" s="304">
        <v>22.453303516633554</v>
      </c>
      <c r="L70" s="304">
        <v>41.874265840732036</v>
      </c>
      <c r="M70" s="304"/>
      <c r="N70" s="304">
        <v>46.393780345157403</v>
      </c>
      <c r="O70" s="304">
        <v>62.367028113851987</v>
      </c>
      <c r="P70" s="304">
        <v>96.564632246219773</v>
      </c>
      <c r="Q70" s="304"/>
      <c r="R70" s="304">
        <v>20.188026280389948</v>
      </c>
      <c r="S70" s="304">
        <v>26.588013082296793</v>
      </c>
      <c r="T70" s="304">
        <v>36.348688898933133</v>
      </c>
      <c r="U70" s="304"/>
      <c r="V70" s="304">
        <v>32.298623524910973</v>
      </c>
      <c r="W70" s="304">
        <v>42.128919206618662</v>
      </c>
      <c r="X70" s="304">
        <v>57.658642932590503</v>
      </c>
      <c r="Y70" s="304"/>
      <c r="Z70" s="304">
        <v>156.15084883906647</v>
      </c>
      <c r="AA70" s="304">
        <v>183.00149874812996</v>
      </c>
      <c r="AB70" s="304">
        <v>202.82368347279385</v>
      </c>
      <c r="AC70" s="304"/>
      <c r="AD70" s="304">
        <v>256.90629415405982</v>
      </c>
      <c r="AE70" s="304">
        <v>302.47393503102319</v>
      </c>
      <c r="AF70" s="304">
        <v>306.16757007076575</v>
      </c>
      <c r="AG70" s="304"/>
      <c r="AH70" s="304">
        <v>218.7059971430244</v>
      </c>
      <c r="AI70" s="304">
        <v>228.5640959681933</v>
      </c>
      <c r="AJ70" s="304">
        <v>168.90459652318981</v>
      </c>
      <c r="AK70" s="304"/>
      <c r="AL70" s="304">
        <v>89.293169136065984</v>
      </c>
      <c r="AM70" s="304">
        <v>69.353717587579069</v>
      </c>
      <c r="AN70" s="304">
        <v>34.806056418156579</v>
      </c>
    </row>
    <row r="71" spans="1:40" x14ac:dyDescent="0.3">
      <c r="A71" s="13" t="str">
        <f t="shared" si="72"/>
        <v>Elementary occupations</v>
      </c>
      <c r="B71" s="304">
        <f t="shared" si="75"/>
        <v>1560.7529043111335</v>
      </c>
      <c r="C71" s="304">
        <f t="shared" si="73"/>
        <v>1606.7520369402891</v>
      </c>
      <c r="D71" s="304">
        <f t="shared" si="74"/>
        <v>1602.6597815697667</v>
      </c>
      <c r="E71" s="304"/>
      <c r="F71" s="304">
        <v>0.5487142052324544</v>
      </c>
      <c r="G71" s="304">
        <v>0.76323818403738031</v>
      </c>
      <c r="H71" s="304">
        <v>1.2327173922669659</v>
      </c>
      <c r="I71" s="304"/>
      <c r="J71" s="304">
        <v>46.853211049177453</v>
      </c>
      <c r="K71" s="304">
        <v>71.718743474796739</v>
      </c>
      <c r="L71" s="304">
        <v>147.10979654828387</v>
      </c>
      <c r="M71" s="304"/>
      <c r="N71" s="304">
        <v>167.1883421836869</v>
      </c>
      <c r="O71" s="304">
        <v>201.57740476293642</v>
      </c>
      <c r="P71" s="304">
        <v>275.51962221932041</v>
      </c>
      <c r="Q71" s="304"/>
      <c r="R71" s="304">
        <v>71.090510971684992</v>
      </c>
      <c r="S71" s="304">
        <v>83.922236454941881</v>
      </c>
      <c r="T71" s="304">
        <v>119.38300460921347</v>
      </c>
      <c r="U71" s="304"/>
      <c r="V71" s="304">
        <v>77.220854504390303</v>
      </c>
      <c r="W71" s="304">
        <v>90.990998687070359</v>
      </c>
      <c r="X71" s="304">
        <v>124.68941755856352</v>
      </c>
      <c r="Y71" s="304"/>
      <c r="Z71" s="304">
        <v>313.77809474246874</v>
      </c>
      <c r="AA71" s="304">
        <v>315.35406785561196</v>
      </c>
      <c r="AB71" s="304">
        <v>320.30451871318809</v>
      </c>
      <c r="AC71" s="304"/>
      <c r="AD71" s="304">
        <v>421.7332717013997</v>
      </c>
      <c r="AE71" s="304">
        <v>431.33321635522719</v>
      </c>
      <c r="AF71" s="304">
        <v>376.76808263208437</v>
      </c>
      <c r="AG71" s="304"/>
      <c r="AH71" s="304">
        <v>313.76887674463859</v>
      </c>
      <c r="AI71" s="304">
        <v>284.98907625298449</v>
      </c>
      <c r="AJ71" s="304">
        <v>143.26583023981573</v>
      </c>
      <c r="AK71" s="304"/>
      <c r="AL71" s="304">
        <v>148.57102820845432</v>
      </c>
      <c r="AM71" s="304">
        <v>126.10305491268252</v>
      </c>
      <c r="AN71" s="304">
        <v>94.3867916570305</v>
      </c>
    </row>
    <row r="72" spans="1:40" x14ac:dyDescent="0.3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3">
      <c r="A74" s="13" t="str">
        <f t="shared" ref="A74:A83" si="76">A8</f>
        <v>All occupations</v>
      </c>
      <c r="B74" s="305">
        <f>SUM(B75:B83)</f>
        <v>9932.1719999788875</v>
      </c>
      <c r="C74" s="305">
        <f>SUM(C75:C83)</f>
        <v>10297.576000100173</v>
      </c>
      <c r="D74" s="305">
        <f>SUM(D75:D83)</f>
        <v>10865.11800003586</v>
      </c>
      <c r="E74" s="304"/>
      <c r="F74" s="305">
        <f>SUM(F75:F83)</f>
        <v>202.70696729879191</v>
      </c>
      <c r="G74" s="305">
        <f>SUM(G75:G83)</f>
        <v>266.15924734788638</v>
      </c>
      <c r="H74" s="305">
        <f>SUM(H75:H83)</f>
        <v>378.14187431317015</v>
      </c>
      <c r="I74" s="304"/>
      <c r="J74" s="305">
        <f>SUM(J75:J83)</f>
        <v>1674.41193996058</v>
      </c>
      <c r="K74" s="305">
        <f>SUM(K75:K83)</f>
        <v>2186.4069666125097</v>
      </c>
      <c r="L74" s="305">
        <f>SUM(L75:L83)</f>
        <v>3096.5675642607539</v>
      </c>
      <c r="M74" s="304"/>
      <c r="N74" s="305">
        <f>SUM(N75:N83)</f>
        <v>2810.6843674253682</v>
      </c>
      <c r="O74" s="305">
        <f>SUM(O75:O83)</f>
        <v>2878.8555392867261</v>
      </c>
      <c r="P74" s="305">
        <f>SUM(P75:P83)</f>
        <v>2997.8327518285669</v>
      </c>
      <c r="Q74" s="304"/>
      <c r="R74" s="305">
        <f>SUM(R75:R83)</f>
        <v>508.07871692893792</v>
      </c>
      <c r="S74" s="305">
        <f>SUM(S75:S83)</f>
        <v>535.66863184490148</v>
      </c>
      <c r="T74" s="305">
        <f>SUM(T75:T83)</f>
        <v>611.19951801489719</v>
      </c>
      <c r="U74" s="304"/>
      <c r="V74" s="305">
        <f>SUM(V75:V83)</f>
        <v>624.12124207713669</v>
      </c>
      <c r="W74" s="305">
        <f>SUM(W75:W83)</f>
        <v>633.7296933656321</v>
      </c>
      <c r="X74" s="305">
        <f>SUM(X75:X83)</f>
        <v>684.5954130775616</v>
      </c>
      <c r="Y74" s="304"/>
      <c r="Z74" s="305">
        <f>SUM(Z75:Z83)</f>
        <v>1399.9086961330495</v>
      </c>
      <c r="AA74" s="305">
        <f>SUM(AA75:AA83)</f>
        <v>1273.0818608546472</v>
      </c>
      <c r="AB74" s="305">
        <f>SUM(AB75:AB83)</f>
        <v>1118.8398325892485</v>
      </c>
      <c r="AC74" s="304"/>
      <c r="AD74" s="305">
        <f>SUM(AD75:AD83)</f>
        <v>1361.9690192273144</v>
      </c>
      <c r="AE74" s="305">
        <f>SUM(AE75:AE83)</f>
        <v>1277.0593682050189</v>
      </c>
      <c r="AF74" s="305">
        <f>SUM(AF75:AF83)</f>
        <v>1020.9697100491026</v>
      </c>
      <c r="AG74" s="304"/>
      <c r="AH74" s="305">
        <f>SUM(AH75:AH83)</f>
        <v>1023.2955475292067</v>
      </c>
      <c r="AI74" s="305">
        <f>SUM(AI75:AI83)</f>
        <v>952.77945344557679</v>
      </c>
      <c r="AJ74" s="305">
        <f>SUM(AJ75:AJ83)</f>
        <v>718.5330838202816</v>
      </c>
      <c r="AK74" s="304"/>
      <c r="AL74" s="305">
        <f>SUM(AL75:AL83)</f>
        <v>326.99550339849884</v>
      </c>
      <c r="AM74" s="305">
        <f>SUM(AM75:AM83)</f>
        <v>293.83523913727487</v>
      </c>
      <c r="AN74" s="305">
        <f>SUM(AN75:AN83)</f>
        <v>238.43825208227875</v>
      </c>
    </row>
    <row r="75" spans="1:40" x14ac:dyDescent="0.3">
      <c r="A75" s="13" t="str">
        <f t="shared" si="76"/>
        <v>Managers, directors and senior officials</v>
      </c>
      <c r="B75" s="305">
        <f>SUM(F75,J75,N75,R75,V75,Z75,AD75,AH75,AL75)</f>
        <v>1348.5373881917951</v>
      </c>
      <c r="C75" s="305">
        <f t="shared" ref="C75:C83" si="77">SUM(G75,K75,O75,S75,W75,AA75,AE75,AI75,AM75)</f>
        <v>1399.6181907322348</v>
      </c>
      <c r="D75" s="305">
        <f t="shared" ref="D75:D83" si="78">SUM(H75,L75,P75,T75,X75,AB75,AF75,AJ75,AN75)</f>
        <v>1548.0303203862952</v>
      </c>
      <c r="E75" s="304"/>
      <c r="F75" s="304">
        <v>34.766603447234381</v>
      </c>
      <c r="G75" s="304">
        <v>46.488686949345833</v>
      </c>
      <c r="H75" s="304">
        <v>69.764569986164318</v>
      </c>
      <c r="I75" s="304"/>
      <c r="J75" s="304">
        <v>246.56956562594965</v>
      </c>
      <c r="K75" s="304">
        <v>316.63887644111787</v>
      </c>
      <c r="L75" s="304">
        <v>464.33537111290963</v>
      </c>
      <c r="M75" s="304"/>
      <c r="N75" s="304">
        <v>435.88128335321954</v>
      </c>
      <c r="O75" s="304">
        <v>437.29315728763595</v>
      </c>
      <c r="P75" s="304">
        <v>466.72284045594904</v>
      </c>
      <c r="Q75" s="304"/>
      <c r="R75" s="304">
        <v>54.539160349001584</v>
      </c>
      <c r="S75" s="304">
        <v>55.251223188957219</v>
      </c>
      <c r="T75" s="304">
        <v>59.591541263089113</v>
      </c>
      <c r="U75" s="304"/>
      <c r="V75" s="304">
        <v>112.97376363454021</v>
      </c>
      <c r="W75" s="304">
        <v>114.80370163199569</v>
      </c>
      <c r="X75" s="304">
        <v>124.58209173352047</v>
      </c>
      <c r="Y75" s="304"/>
      <c r="Z75" s="304">
        <v>192.73559198209654</v>
      </c>
      <c r="AA75" s="304">
        <v>169.93665643820077</v>
      </c>
      <c r="AB75" s="304">
        <v>156.51108524534666</v>
      </c>
      <c r="AC75" s="304"/>
      <c r="AD75" s="304">
        <v>143.92387465913879</v>
      </c>
      <c r="AE75" s="304">
        <v>134.17315874758629</v>
      </c>
      <c r="AF75" s="304">
        <v>105.55081441030316</v>
      </c>
      <c r="AG75" s="304"/>
      <c r="AH75" s="304">
        <v>100.78185287204084</v>
      </c>
      <c r="AI75" s="304">
        <v>97.627967918870269</v>
      </c>
      <c r="AJ75" s="304">
        <v>73.619673818644202</v>
      </c>
      <c r="AK75" s="304"/>
      <c r="AL75" s="304">
        <v>26.365692268573728</v>
      </c>
      <c r="AM75" s="304">
        <v>27.404762128524979</v>
      </c>
      <c r="AN75" s="304">
        <v>27.352332360368241</v>
      </c>
    </row>
    <row r="76" spans="1:40" x14ac:dyDescent="0.3">
      <c r="A76" s="13" t="str">
        <f t="shared" si="76"/>
        <v>Professional occupations</v>
      </c>
      <c r="B76" s="305">
        <f t="shared" ref="B76:B83" si="79">SUM(F76,J76,N76,R76,V76,Z76,AD76,AH76,AL76)</f>
        <v>2756.8936578075641</v>
      </c>
      <c r="C76" s="305">
        <f t="shared" si="77"/>
        <v>3026.7285734960574</v>
      </c>
      <c r="D76" s="305">
        <f>SUM(H76,L76,P76,T76,X76,AB76,AF76,AJ76,AN76)</f>
        <v>3335.7447031551724</v>
      </c>
      <c r="E76" s="304"/>
      <c r="F76" s="304">
        <v>113.17781641686277</v>
      </c>
      <c r="G76" s="304">
        <v>147.56288708553544</v>
      </c>
      <c r="H76" s="304">
        <v>199.320376280125</v>
      </c>
      <c r="I76" s="304"/>
      <c r="J76" s="304">
        <v>782.39015209324805</v>
      </c>
      <c r="K76" s="304">
        <v>1031.7695669505383</v>
      </c>
      <c r="L76" s="304">
        <v>1409.3903103910231</v>
      </c>
      <c r="M76" s="304"/>
      <c r="N76" s="304">
        <v>1055.8747858146669</v>
      </c>
      <c r="O76" s="304">
        <v>1068.9808527953544</v>
      </c>
      <c r="P76" s="304">
        <v>1019.7282421477403</v>
      </c>
      <c r="Q76" s="304"/>
      <c r="R76" s="304">
        <v>93.78465472658965</v>
      </c>
      <c r="S76" s="304">
        <v>96.872687062821242</v>
      </c>
      <c r="T76" s="304">
        <v>103.37587688970592</v>
      </c>
      <c r="U76" s="304"/>
      <c r="V76" s="304">
        <v>164.69858882691511</v>
      </c>
      <c r="W76" s="304">
        <v>164.93147615678254</v>
      </c>
      <c r="X76" s="304">
        <v>169.58299398008748</v>
      </c>
      <c r="Y76" s="304"/>
      <c r="Z76" s="304">
        <v>233.1200160019871</v>
      </c>
      <c r="AA76" s="304">
        <v>212.59603135310559</v>
      </c>
      <c r="AB76" s="304">
        <v>188.73109957488973</v>
      </c>
      <c r="AC76" s="304"/>
      <c r="AD76" s="304">
        <v>177.52199013702688</v>
      </c>
      <c r="AE76" s="304">
        <v>170.20107795518868</v>
      </c>
      <c r="AF76" s="304">
        <v>144.4455567764617</v>
      </c>
      <c r="AG76" s="304"/>
      <c r="AH76" s="304">
        <v>109.47797696169377</v>
      </c>
      <c r="AI76" s="304">
        <v>101.696086502032</v>
      </c>
      <c r="AJ76" s="304">
        <v>67.033946249733589</v>
      </c>
      <c r="AK76" s="304"/>
      <c r="AL76" s="304">
        <v>26.84767682857375</v>
      </c>
      <c r="AM76" s="304">
        <v>32.117907634699314</v>
      </c>
      <c r="AN76" s="304">
        <v>34.136300865405062</v>
      </c>
    </row>
    <row r="77" spans="1:40" x14ac:dyDescent="0.3">
      <c r="A77" s="13" t="str">
        <f t="shared" si="76"/>
        <v>Associate professional occupations</v>
      </c>
      <c r="B77" s="305">
        <f t="shared" si="79"/>
        <v>1968.7908894030297</v>
      </c>
      <c r="C77" s="305">
        <f t="shared" si="77"/>
        <v>1927.258611201582</v>
      </c>
      <c r="D77" s="305">
        <f t="shared" si="78"/>
        <v>2071.263763949667</v>
      </c>
      <c r="E77" s="304"/>
      <c r="F77" s="304">
        <v>37.488222744482229</v>
      </c>
      <c r="G77" s="304">
        <v>47.698548715166261</v>
      </c>
      <c r="H77" s="304">
        <v>70.858685915843409</v>
      </c>
      <c r="I77" s="304"/>
      <c r="J77" s="304">
        <v>408.55558807833944</v>
      </c>
      <c r="K77" s="304">
        <v>506.33887009030724</v>
      </c>
      <c r="L77" s="304">
        <v>719.4287396190889</v>
      </c>
      <c r="M77" s="304"/>
      <c r="N77" s="304">
        <v>683.88956483772017</v>
      </c>
      <c r="O77" s="304">
        <v>651.48616255175841</v>
      </c>
      <c r="P77" s="304">
        <v>652.45132068388421</v>
      </c>
      <c r="Q77" s="304"/>
      <c r="R77" s="304">
        <v>125.19541176173492</v>
      </c>
      <c r="S77" s="304">
        <v>123.29663304710962</v>
      </c>
      <c r="T77" s="304">
        <v>139.6995240563231</v>
      </c>
      <c r="U77" s="304"/>
      <c r="V77" s="304">
        <v>120.29203671744303</v>
      </c>
      <c r="W77" s="304">
        <v>108.25800302942433</v>
      </c>
      <c r="X77" s="304">
        <v>102.71197212825967</v>
      </c>
      <c r="Y77" s="304"/>
      <c r="Z77" s="304">
        <v>248.57243481598024</v>
      </c>
      <c r="AA77" s="304">
        <v>204.56537769393654</v>
      </c>
      <c r="AB77" s="304">
        <v>172.19555353079912</v>
      </c>
      <c r="AC77" s="304"/>
      <c r="AD77" s="304">
        <v>180.15885647031379</v>
      </c>
      <c r="AE77" s="304">
        <v>144.28543599791425</v>
      </c>
      <c r="AF77" s="304">
        <v>99.223086676830206</v>
      </c>
      <c r="AG77" s="304"/>
      <c r="AH77" s="304">
        <v>131.91651547857819</v>
      </c>
      <c r="AI77" s="304">
        <v>109.46001350274881</v>
      </c>
      <c r="AJ77" s="304">
        <v>80.484313232368478</v>
      </c>
      <c r="AK77" s="304"/>
      <c r="AL77" s="304">
        <v>32.722258498437434</v>
      </c>
      <c r="AM77" s="304">
        <v>31.869566573216325</v>
      </c>
      <c r="AN77" s="304">
        <v>34.210568106269704</v>
      </c>
    </row>
    <row r="78" spans="1:40" x14ac:dyDescent="0.3">
      <c r="A78" s="13" t="str">
        <f t="shared" si="76"/>
        <v>Administrative and secretarial occupations</v>
      </c>
      <c r="B78" s="305">
        <f t="shared" si="79"/>
        <v>1349.5856774573092</v>
      </c>
      <c r="C78" s="305">
        <f t="shared" si="77"/>
        <v>1278.884322725296</v>
      </c>
      <c r="D78" s="305">
        <f t="shared" si="78"/>
        <v>1193.5428513235224</v>
      </c>
      <c r="E78" s="304"/>
      <c r="F78" s="304">
        <v>8.9086740382579137</v>
      </c>
      <c r="G78" s="304">
        <v>11.981581002654282</v>
      </c>
      <c r="H78" s="304">
        <v>18.707321513212598</v>
      </c>
      <c r="I78" s="304"/>
      <c r="J78" s="304">
        <v>114.13318534130994</v>
      </c>
      <c r="K78" s="304">
        <v>149.99470075306851</v>
      </c>
      <c r="L78" s="304">
        <v>220.56108046306443</v>
      </c>
      <c r="M78" s="304"/>
      <c r="N78" s="304">
        <v>319.78536765034158</v>
      </c>
      <c r="O78" s="304">
        <v>347.07904063809036</v>
      </c>
      <c r="P78" s="304">
        <v>400.87927503049224</v>
      </c>
      <c r="Q78" s="304"/>
      <c r="R78" s="304">
        <v>89.761974327289451</v>
      </c>
      <c r="S78" s="304">
        <v>92.312891536839857</v>
      </c>
      <c r="T78" s="304">
        <v>100.83163731852098</v>
      </c>
      <c r="U78" s="304"/>
      <c r="V78" s="304">
        <v>104.7667977370636</v>
      </c>
      <c r="W78" s="304">
        <v>107.63413926214355</v>
      </c>
      <c r="X78" s="304">
        <v>117.96075531109992</v>
      </c>
      <c r="Y78" s="304"/>
      <c r="Z78" s="304">
        <v>239.55140165023079</v>
      </c>
      <c r="AA78" s="304">
        <v>200.48869470978639</v>
      </c>
      <c r="AB78" s="304">
        <v>131.48729294059498</v>
      </c>
      <c r="AC78" s="304"/>
      <c r="AD78" s="304">
        <v>265.34940880278742</v>
      </c>
      <c r="AE78" s="304">
        <v>214.42740612513361</v>
      </c>
      <c r="AF78" s="304">
        <v>122.89132560877732</v>
      </c>
      <c r="AG78" s="304"/>
      <c r="AH78" s="304">
        <v>150.74338908558721</v>
      </c>
      <c r="AI78" s="304">
        <v>98.974961141270441</v>
      </c>
      <c r="AJ78" s="304">
        <v>29.240165276074066</v>
      </c>
      <c r="AK78" s="304"/>
      <c r="AL78" s="304">
        <v>56.585478824441275</v>
      </c>
      <c r="AM78" s="304">
        <v>55.990907556309075</v>
      </c>
      <c r="AN78" s="304">
        <v>50.983997861685822</v>
      </c>
    </row>
    <row r="79" spans="1:40" x14ac:dyDescent="0.3">
      <c r="A79" s="13" t="str">
        <f t="shared" si="76"/>
        <v>Skilled trades occupations</v>
      </c>
      <c r="B79" s="305">
        <f t="shared" si="79"/>
        <v>337.40106895663757</v>
      </c>
      <c r="C79" s="305">
        <f t="shared" si="77"/>
        <v>363.1287891630846</v>
      </c>
      <c r="D79" s="305">
        <f t="shared" si="78"/>
        <v>374.53722468633339</v>
      </c>
      <c r="E79" s="304"/>
      <c r="F79" s="304">
        <v>2.0152288932948856</v>
      </c>
      <c r="G79" s="304">
        <v>2.9931195010871527</v>
      </c>
      <c r="H79" s="304">
        <v>4.6688747061869913</v>
      </c>
      <c r="I79" s="304"/>
      <c r="J79" s="304">
        <v>21.418285064222587</v>
      </c>
      <c r="K79" s="304">
        <v>32.474431846814916</v>
      </c>
      <c r="L79" s="304">
        <v>49.067543084588102</v>
      </c>
      <c r="M79" s="304"/>
      <c r="N79" s="304">
        <v>51.548514325065732</v>
      </c>
      <c r="O79" s="304">
        <v>60.360056457734061</v>
      </c>
      <c r="P79" s="304">
        <v>74.944732435138889</v>
      </c>
      <c r="Q79" s="304"/>
      <c r="R79" s="304">
        <v>19.287089716724108</v>
      </c>
      <c r="S79" s="304">
        <v>21.986762825661067</v>
      </c>
      <c r="T79" s="304">
        <v>28.632384273875566</v>
      </c>
      <c r="U79" s="304"/>
      <c r="V79" s="304">
        <v>24.560911652329434</v>
      </c>
      <c r="W79" s="304">
        <v>26.577076296539726</v>
      </c>
      <c r="X79" s="304">
        <v>30.341723999288284</v>
      </c>
      <c r="Y79" s="304"/>
      <c r="Z79" s="304">
        <v>78.103848358432046</v>
      </c>
      <c r="AA79" s="304">
        <v>75.479866468241411</v>
      </c>
      <c r="AB79" s="304">
        <v>66.637731146224141</v>
      </c>
      <c r="AC79" s="304"/>
      <c r="AD79" s="304">
        <v>73.118915746490259</v>
      </c>
      <c r="AE79" s="304">
        <v>73.317548373370514</v>
      </c>
      <c r="AF79" s="304">
        <v>64.161219861758269</v>
      </c>
      <c r="AG79" s="304"/>
      <c r="AH79" s="304">
        <v>42.997864525145687</v>
      </c>
      <c r="AI79" s="304">
        <v>42.973173377902206</v>
      </c>
      <c r="AJ79" s="304">
        <v>33.676787980403716</v>
      </c>
      <c r="AK79" s="304"/>
      <c r="AL79" s="304">
        <v>24.350410674932849</v>
      </c>
      <c r="AM79" s="304">
        <v>26.966754015733571</v>
      </c>
      <c r="AN79" s="304">
        <v>22.406227198869431</v>
      </c>
    </row>
    <row r="80" spans="1:40" x14ac:dyDescent="0.3">
      <c r="A80" s="13" t="str">
        <f t="shared" si="76"/>
        <v>Caring, leisure and other service occupations</v>
      </c>
      <c r="B80" s="305">
        <f t="shared" si="79"/>
        <v>591.96575020456498</v>
      </c>
      <c r="C80" s="305">
        <f t="shared" si="77"/>
        <v>618.73326161732473</v>
      </c>
      <c r="D80" s="305">
        <f t="shared" si="78"/>
        <v>651.19465853125871</v>
      </c>
      <c r="E80" s="304"/>
      <c r="F80" s="304">
        <v>0.63892417279378011</v>
      </c>
      <c r="G80" s="304">
        <v>0.96521450111052776</v>
      </c>
      <c r="H80" s="304">
        <v>1.7214770488602169</v>
      </c>
      <c r="I80" s="304"/>
      <c r="J80" s="304">
        <v>31.572436307567724</v>
      </c>
      <c r="K80" s="304">
        <v>44.784111194790292</v>
      </c>
      <c r="L80" s="304">
        <v>70.014927523328353</v>
      </c>
      <c r="M80" s="304"/>
      <c r="N80" s="304">
        <v>85.69402634940532</v>
      </c>
      <c r="O80" s="304">
        <v>104.32158297463546</v>
      </c>
      <c r="P80" s="304">
        <v>135.04248133398877</v>
      </c>
      <c r="Q80" s="304"/>
      <c r="R80" s="304">
        <v>55.554994568342416</v>
      </c>
      <c r="S80" s="304">
        <v>63.059500218320053</v>
      </c>
      <c r="T80" s="304">
        <v>76.084906801518343</v>
      </c>
      <c r="U80" s="304"/>
      <c r="V80" s="304">
        <v>37.491619992823168</v>
      </c>
      <c r="W80" s="304">
        <v>43.651474527506544</v>
      </c>
      <c r="X80" s="304">
        <v>59.116231215496661</v>
      </c>
      <c r="Y80" s="304"/>
      <c r="Z80" s="304">
        <v>149.73698501468724</v>
      </c>
      <c r="AA80" s="304">
        <v>147.85544046707284</v>
      </c>
      <c r="AB80" s="304">
        <v>143.68826871312339</v>
      </c>
      <c r="AC80" s="304"/>
      <c r="AD80" s="304">
        <v>125.0299785325432</v>
      </c>
      <c r="AE80" s="304">
        <v>112.49785327573068</v>
      </c>
      <c r="AF80" s="304">
        <v>83.727862357897607</v>
      </c>
      <c r="AG80" s="304"/>
      <c r="AH80" s="304">
        <v>84.656592644930484</v>
      </c>
      <c r="AI80" s="304">
        <v>82.401579289690034</v>
      </c>
      <c r="AJ80" s="304">
        <v>66.221781410104924</v>
      </c>
      <c r="AK80" s="304"/>
      <c r="AL80" s="304">
        <v>21.590192621471722</v>
      </c>
      <c r="AM80" s="304">
        <v>19.196505168468306</v>
      </c>
      <c r="AN80" s="304">
        <v>15.576722126940467</v>
      </c>
    </row>
    <row r="81" spans="1:40" x14ac:dyDescent="0.3">
      <c r="A81" s="13" t="str">
        <f t="shared" si="76"/>
        <v>Sales and customer service occupations</v>
      </c>
      <c r="B81" s="305">
        <f t="shared" si="79"/>
        <v>511.91216991445077</v>
      </c>
      <c r="C81" s="305">
        <f t="shared" si="77"/>
        <v>570.08349257585076</v>
      </c>
      <c r="D81" s="305">
        <f t="shared" si="78"/>
        <v>609.58086439374893</v>
      </c>
      <c r="E81" s="304"/>
      <c r="F81" s="304">
        <v>3.8139447444731536</v>
      </c>
      <c r="G81" s="304">
        <v>5.4629499785257796</v>
      </c>
      <c r="H81" s="304">
        <v>8.4121126648802047</v>
      </c>
      <c r="I81" s="304"/>
      <c r="J81" s="304">
        <v>33.962401256299771</v>
      </c>
      <c r="K81" s="304">
        <v>48.983437799238644</v>
      </c>
      <c r="L81" s="304">
        <v>76.672998091299135</v>
      </c>
      <c r="M81" s="304"/>
      <c r="N81" s="304">
        <v>104.90591553157263</v>
      </c>
      <c r="O81" s="304">
        <v>122.3180397962649</v>
      </c>
      <c r="P81" s="304">
        <v>145.35512986044884</v>
      </c>
      <c r="Q81" s="304"/>
      <c r="R81" s="304">
        <v>28.959496869445108</v>
      </c>
      <c r="S81" s="304">
        <v>33.144368734665839</v>
      </c>
      <c r="T81" s="304">
        <v>41.210827928386976</v>
      </c>
      <c r="U81" s="304"/>
      <c r="V81" s="304">
        <v>36.261587297082158</v>
      </c>
      <c r="W81" s="304">
        <v>43.807918146515711</v>
      </c>
      <c r="X81" s="304">
        <v>51.386150252759606</v>
      </c>
      <c r="Y81" s="304"/>
      <c r="Z81" s="304">
        <v>106.64133267458475</v>
      </c>
      <c r="AA81" s="304">
        <v>111.11294376815314</v>
      </c>
      <c r="AB81" s="304">
        <v>104.31018232384361</v>
      </c>
      <c r="AC81" s="304"/>
      <c r="AD81" s="304">
        <v>117.18299149137951</v>
      </c>
      <c r="AE81" s="304">
        <v>127.80219616534715</v>
      </c>
      <c r="AF81" s="304">
        <v>113.76666752561459</v>
      </c>
      <c r="AG81" s="304"/>
      <c r="AH81" s="304">
        <v>59.858490808973947</v>
      </c>
      <c r="AI81" s="304">
        <v>56.116006569273885</v>
      </c>
      <c r="AJ81" s="304">
        <v>46.513979443857821</v>
      </c>
      <c r="AK81" s="304"/>
      <c r="AL81" s="304">
        <v>20.326009240639703</v>
      </c>
      <c r="AM81" s="304">
        <v>21.33563161786574</v>
      </c>
      <c r="AN81" s="304">
        <v>21.952816302658238</v>
      </c>
    </row>
    <row r="82" spans="1:40" x14ac:dyDescent="0.3">
      <c r="A82" s="13" t="str">
        <f t="shared" si="76"/>
        <v>Process, plant and machine operatives</v>
      </c>
      <c r="B82" s="305">
        <f t="shared" si="79"/>
        <v>178.40496224519433</v>
      </c>
      <c r="C82" s="305">
        <f t="shared" si="77"/>
        <v>202.17322781789335</v>
      </c>
      <c r="D82" s="305">
        <f t="shared" si="78"/>
        <v>204.16709778447017</v>
      </c>
      <c r="E82" s="304"/>
      <c r="F82" s="304">
        <v>0.57720329482081389</v>
      </c>
      <c r="G82" s="304">
        <v>0.97815031276838016</v>
      </c>
      <c r="H82" s="304">
        <v>1.4862604441430571</v>
      </c>
      <c r="I82" s="304"/>
      <c r="J82" s="304">
        <v>8.2539709789540368</v>
      </c>
      <c r="K82" s="304">
        <v>12.412241474377231</v>
      </c>
      <c r="L82" s="304">
        <v>20.264679289903498</v>
      </c>
      <c r="M82" s="304"/>
      <c r="N82" s="304">
        <v>13.75706914809841</v>
      </c>
      <c r="O82" s="304">
        <v>17.72606607026297</v>
      </c>
      <c r="P82" s="304">
        <v>22.199294820394083</v>
      </c>
      <c r="Q82" s="304"/>
      <c r="R82" s="304">
        <v>5.2799286587608369</v>
      </c>
      <c r="S82" s="304">
        <v>6.7184871603619944</v>
      </c>
      <c r="T82" s="304">
        <v>9.05249203627673</v>
      </c>
      <c r="U82" s="304"/>
      <c r="V82" s="304">
        <v>5.7861092836766028</v>
      </c>
      <c r="W82" s="304">
        <v>7.0862425168868208</v>
      </c>
      <c r="X82" s="304">
        <v>8.7243335156384401</v>
      </c>
      <c r="Y82" s="304"/>
      <c r="Z82" s="304">
        <v>44.073976782023472</v>
      </c>
      <c r="AA82" s="304">
        <v>51.393957179100106</v>
      </c>
      <c r="AB82" s="304">
        <v>60.779208905819395</v>
      </c>
      <c r="AC82" s="304"/>
      <c r="AD82" s="304">
        <v>37.824465080840419</v>
      </c>
      <c r="AE82" s="304">
        <v>42.642698583074115</v>
      </c>
      <c r="AF82" s="304">
        <v>41.988521640668679</v>
      </c>
      <c r="AG82" s="304"/>
      <c r="AH82" s="304">
        <v>36.11677112739099</v>
      </c>
      <c r="AI82" s="304">
        <v>36.415398230819726</v>
      </c>
      <c r="AJ82" s="304">
        <v>25.027608959941556</v>
      </c>
      <c r="AK82" s="304"/>
      <c r="AL82" s="304">
        <v>26.735467890628737</v>
      </c>
      <c r="AM82" s="304">
        <v>26.799986290241993</v>
      </c>
      <c r="AN82" s="304">
        <v>14.644698171684723</v>
      </c>
    </row>
    <row r="83" spans="1:40" x14ac:dyDescent="0.3">
      <c r="A83" s="38" t="str">
        <f t="shared" si="76"/>
        <v>Elementary occupations</v>
      </c>
      <c r="B83" s="307">
        <f t="shared" si="79"/>
        <v>888.68043579833966</v>
      </c>
      <c r="C83" s="307">
        <f t="shared" si="77"/>
        <v>910.9675307708485</v>
      </c>
      <c r="D83" s="307">
        <f t="shared" si="78"/>
        <v>877.05651582539292</v>
      </c>
      <c r="E83" s="307"/>
      <c r="F83" s="307">
        <v>1.3203495465719735</v>
      </c>
      <c r="G83" s="307">
        <v>2.0281093016926972</v>
      </c>
      <c r="H83" s="307">
        <v>3.2021957537543466</v>
      </c>
      <c r="I83" s="307"/>
      <c r="J83" s="307">
        <v>27.556355214689077</v>
      </c>
      <c r="K83" s="307">
        <v>43.010730062256208</v>
      </c>
      <c r="L83" s="307">
        <v>66.831914685548156</v>
      </c>
      <c r="M83" s="307"/>
      <c r="N83" s="307">
        <v>59.347840415278554</v>
      </c>
      <c r="O83" s="307">
        <v>69.290580714989019</v>
      </c>
      <c r="P83" s="307">
        <v>80.509435060530066</v>
      </c>
      <c r="Q83" s="307"/>
      <c r="R83" s="307">
        <v>35.716005951049915</v>
      </c>
      <c r="S83" s="307">
        <v>43.02607807016458</v>
      </c>
      <c r="T83" s="307">
        <v>52.720327447200482</v>
      </c>
      <c r="U83" s="307"/>
      <c r="V83" s="307">
        <v>17.289826935263303</v>
      </c>
      <c r="W83" s="307">
        <v>16.979661797837156</v>
      </c>
      <c r="X83" s="307">
        <v>20.189160941410933</v>
      </c>
      <c r="Y83" s="307"/>
      <c r="Z83" s="307">
        <v>107.3731088530274</v>
      </c>
      <c r="AA83" s="307">
        <v>99.652892777050226</v>
      </c>
      <c r="AB83" s="307">
        <v>94.499410208607614</v>
      </c>
      <c r="AC83" s="307"/>
      <c r="AD83" s="307">
        <v>241.85853830679417</v>
      </c>
      <c r="AE83" s="307">
        <v>257.71199298167369</v>
      </c>
      <c r="AF83" s="307">
        <v>245.21465519079109</v>
      </c>
      <c r="AG83" s="307"/>
      <c r="AH83" s="307">
        <v>306.74609402486561</v>
      </c>
      <c r="AI83" s="307">
        <v>327.11426691296947</v>
      </c>
      <c r="AJ83" s="307">
        <v>296.71482744915323</v>
      </c>
      <c r="AK83" s="307"/>
      <c r="AL83" s="307">
        <v>91.472316550799619</v>
      </c>
      <c r="AM83" s="307">
        <v>52.153218152215501</v>
      </c>
      <c r="AN83" s="307">
        <v>17.174589088397056</v>
      </c>
    </row>
    <row r="84" spans="1:40" x14ac:dyDescent="0.3">
      <c r="B84" s="31"/>
      <c r="C84" s="31"/>
      <c r="D84" s="31"/>
    </row>
    <row r="85" spans="1:40" ht="15.45" x14ac:dyDescent="0.4">
      <c r="A85" s="18" t="str">
        <f>CONCATENATE(A1," (Continued)")</f>
        <v>Basic Table 1  Employment by Industry Sector, Occupation Group and Qualification, 2020-2035, England (Continued)</v>
      </c>
    </row>
    <row r="86" spans="1:40" ht="12.75" customHeight="1" x14ac:dyDescent="0.4">
      <c r="A86" s="18"/>
    </row>
    <row r="87" spans="1:40" ht="12.75" customHeight="1" x14ac:dyDescent="0.4">
      <c r="A87" s="18"/>
    </row>
    <row r="88" spans="1:40" ht="26.25" customHeight="1" x14ac:dyDescent="0.3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80" t="str">
        <f>N4</f>
        <v>RQF6 First degree</v>
      </c>
      <c r="O88" s="380"/>
      <c r="P88" s="380"/>
      <c r="Q88" s="77"/>
      <c r="R88" s="380" t="str">
        <f>R4</f>
        <v>RQF5 Foundation degree;Nursing;Teaching</v>
      </c>
      <c r="S88" s="380"/>
      <c r="T88" s="380"/>
      <c r="U88" s="77"/>
      <c r="V88" s="380" t="str">
        <f>V4</f>
        <v>RQF4 HE below degree level</v>
      </c>
      <c r="W88" s="380"/>
      <c r="X88" s="380"/>
      <c r="Y88" s="77"/>
      <c r="Z88" s="380" t="str">
        <f>Z4</f>
        <v>RQF3 A level &amp; equivalent</v>
      </c>
      <c r="AA88" s="380"/>
      <c r="AB88" s="380"/>
      <c r="AC88" s="77"/>
      <c r="AD88" s="380" t="str">
        <f>AD4</f>
        <v>RQF2 GCSE(A-C) &amp; equivalent</v>
      </c>
      <c r="AE88" s="380"/>
      <c r="AF88" s="380"/>
      <c r="AG88" s="77"/>
      <c r="AH88" s="380" t="str">
        <f>AH4</f>
        <v>RQF1 GCSE(below grade C) &amp; equivalent</v>
      </c>
      <c r="AI88" s="380"/>
      <c r="AJ88" s="380"/>
      <c r="AK88" s="77"/>
      <c r="AL88" s="77"/>
      <c r="AM88" s="78" t="str">
        <f>AL4</f>
        <v>No Qualification</v>
      </c>
      <c r="AN88" s="77"/>
    </row>
    <row r="89" spans="1:40" x14ac:dyDescent="0.3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3">
      <c r="B90" s="31"/>
      <c r="C90" s="31"/>
      <c r="D90" s="31"/>
    </row>
    <row r="91" spans="1:40" x14ac:dyDescent="0.3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3">
      <c r="A92" s="13" t="str">
        <f t="shared" ref="A92:A101" si="80">A8</f>
        <v>All occupations</v>
      </c>
      <c r="B92" s="305">
        <f>SUM(B93:B101)</f>
        <v>7286.2549999996027</v>
      </c>
      <c r="C92" s="305">
        <f>SUM(C93:C101)</f>
        <v>7562.1109998015772</v>
      </c>
      <c r="D92" s="305">
        <f>SUM(D93:D101)</f>
        <v>7931.3150000336327</v>
      </c>
      <c r="E92" s="304"/>
      <c r="F92" s="305">
        <f>SUM(F93:F101)</f>
        <v>251.44294581202462</v>
      </c>
      <c r="G92" s="305">
        <f>SUM(G93:G101)</f>
        <v>311.38591831600729</v>
      </c>
      <c r="H92" s="305">
        <f>SUM(H93:H101)</f>
        <v>412.1155312476883</v>
      </c>
      <c r="I92" s="304"/>
      <c r="J92" s="305">
        <f>SUM(J93:J101)</f>
        <v>1442.9869898479449</v>
      </c>
      <c r="K92" s="305">
        <f>SUM(K93:K101)</f>
        <v>1749.5791752078785</v>
      </c>
      <c r="L92" s="305">
        <f>SUM(L93:L101)</f>
        <v>2244.5831171576015</v>
      </c>
      <c r="M92" s="304"/>
      <c r="N92" s="305">
        <f>SUM(N93:N101)</f>
        <v>1801.9329524209538</v>
      </c>
      <c r="O92" s="305">
        <f>SUM(O93:O101)</f>
        <v>1913.6496920839554</v>
      </c>
      <c r="P92" s="305">
        <f>SUM(P93:P101)</f>
        <v>2095.6916600694808</v>
      </c>
      <c r="Q92" s="304"/>
      <c r="R92" s="305">
        <f>SUM(R93:R101)</f>
        <v>673.03518149269917</v>
      </c>
      <c r="S92" s="305">
        <f>SUM(S93:S101)</f>
        <v>587.97038958934559</v>
      </c>
      <c r="T92" s="305">
        <f>SUM(T93:T101)</f>
        <v>518.71135728924889</v>
      </c>
      <c r="U92" s="304"/>
      <c r="V92" s="305">
        <f>SUM(V93:V101)</f>
        <v>329.01683274558917</v>
      </c>
      <c r="W92" s="305">
        <f>SUM(W93:W101)</f>
        <v>334.51547578805912</v>
      </c>
      <c r="X92" s="305">
        <f>SUM(X93:X101)</f>
        <v>356.62469521805303</v>
      </c>
      <c r="Y92" s="304"/>
      <c r="Z92" s="305">
        <f>SUM(Z93:Z101)</f>
        <v>1369.5763754111492</v>
      </c>
      <c r="AA92" s="305">
        <f>SUM(AA93:AA101)</f>
        <v>1433.6605345769467</v>
      </c>
      <c r="AB92" s="305">
        <f>SUM(AB93:AB101)</f>
        <v>1473.0796510096557</v>
      </c>
      <c r="AC92" s="304"/>
      <c r="AD92" s="305">
        <f>SUM(AD93:AD101)</f>
        <v>983.62000617284639</v>
      </c>
      <c r="AE92" s="305">
        <f>SUM(AE93:AE101)</f>
        <v>907.84654425401686</v>
      </c>
      <c r="AF92" s="305">
        <f>SUM(AF93:AF101)</f>
        <v>636.99572219828599</v>
      </c>
      <c r="AG92" s="304"/>
      <c r="AH92" s="305">
        <f>SUM(AH93:AH101)</f>
        <v>365.81057677289652</v>
      </c>
      <c r="AI92" s="305">
        <f>SUM(AI93:AI101)</f>
        <v>266.89477050187202</v>
      </c>
      <c r="AJ92" s="305">
        <f>SUM(AJ93:AJ101)</f>
        <v>139.55743422472563</v>
      </c>
      <c r="AK92" s="304"/>
      <c r="AL92" s="305">
        <f>SUM(AL93:AL101)</f>
        <v>68.833139323498315</v>
      </c>
      <c r="AM92" s="305">
        <f>SUM(AM93:AM101)</f>
        <v>56.608499483494981</v>
      </c>
      <c r="AN92" s="305">
        <f>SUM(AN93:AN101)</f>
        <v>53.95583161889158</v>
      </c>
    </row>
    <row r="93" spans="1:40" x14ac:dyDescent="0.3">
      <c r="A93" s="13" t="str">
        <f t="shared" si="80"/>
        <v>Managers, directors and senior officials</v>
      </c>
      <c r="B93" s="305">
        <f>SUM(F93,J93,N93,R93,V93,Z93,AD93,AH93,AL93)</f>
        <v>339.39048461373937</v>
      </c>
      <c r="C93" s="305">
        <f t="shared" ref="C93:D93" si="81">SUM(G93,K93,O93,S93,W93,AA93,AE93,AI93,AM93)</f>
        <v>347.38068215889353</v>
      </c>
      <c r="D93" s="305">
        <f t="shared" si="81"/>
        <v>385.73041843961607</v>
      </c>
      <c r="E93" s="304"/>
      <c r="F93" s="304">
        <v>7.1983691580603137</v>
      </c>
      <c r="G93" s="304">
        <v>9.0066384139799709</v>
      </c>
      <c r="H93" s="304">
        <v>13.272433566583707</v>
      </c>
      <c r="I93" s="304"/>
      <c r="J93" s="304">
        <v>72.270123611728664</v>
      </c>
      <c r="K93" s="304">
        <v>85.46061732007206</v>
      </c>
      <c r="L93" s="304">
        <v>111.42523273682993</v>
      </c>
      <c r="M93" s="304"/>
      <c r="N93" s="304">
        <v>102.22460721247043</v>
      </c>
      <c r="O93" s="304">
        <v>104.89689288708094</v>
      </c>
      <c r="P93" s="304">
        <v>119.35177447728128</v>
      </c>
      <c r="Q93" s="304"/>
      <c r="R93" s="304">
        <v>57.553091292282687</v>
      </c>
      <c r="S93" s="304">
        <v>57.109880666142594</v>
      </c>
      <c r="T93" s="304">
        <v>60.275510602024013</v>
      </c>
      <c r="U93" s="304"/>
      <c r="V93" s="304">
        <v>14.456368380722177</v>
      </c>
      <c r="W93" s="304">
        <v>13.17122577616942</v>
      </c>
      <c r="X93" s="304">
        <v>12.903073850233175</v>
      </c>
      <c r="Y93" s="304"/>
      <c r="Z93" s="304">
        <v>49.492494681058162</v>
      </c>
      <c r="AA93" s="304">
        <v>44.42678072856576</v>
      </c>
      <c r="AB93" s="304">
        <v>40.795032118074943</v>
      </c>
      <c r="AC93" s="304"/>
      <c r="AD93" s="304">
        <v>22.373342070257046</v>
      </c>
      <c r="AE93" s="304">
        <v>20.14509801810015</v>
      </c>
      <c r="AF93" s="304">
        <v>16.258341305008809</v>
      </c>
      <c r="AG93" s="304"/>
      <c r="AH93" s="304">
        <v>8.6228476612127096</v>
      </c>
      <c r="AI93" s="304">
        <v>7.1950625597781759</v>
      </c>
      <c r="AJ93" s="304">
        <v>4.7977982129510179</v>
      </c>
      <c r="AK93" s="304"/>
      <c r="AL93" s="304">
        <v>5.1992405459472364</v>
      </c>
      <c r="AM93" s="304">
        <v>5.9684857890044176</v>
      </c>
      <c r="AN93" s="304">
        <v>6.6512215706291444</v>
      </c>
    </row>
    <row r="94" spans="1:40" x14ac:dyDescent="0.3">
      <c r="A94" s="13" t="str">
        <f t="shared" si="80"/>
        <v>Professional occupations</v>
      </c>
      <c r="B94" s="305">
        <f t="shared" ref="B94:B101" si="82">SUM(F94,J94,N94,R94,V94,Z94,AD94,AH94,AL94)</f>
        <v>2899.9352230297764</v>
      </c>
      <c r="C94" s="305">
        <f t="shared" ref="C94:C101" si="83">SUM(G94,K94,O94,S94,W94,AA94,AE94,AI94,AM94)</f>
        <v>3091.1524470881545</v>
      </c>
      <c r="D94" s="305">
        <f t="shared" ref="D94:D101" si="84">SUM(H94,L94,P94,T94,X94,AB94,AF94,AJ94,AN94)</f>
        <v>3392.5091226967666</v>
      </c>
      <c r="E94" s="305"/>
      <c r="F94" s="304">
        <v>225.77417535989872</v>
      </c>
      <c r="G94" s="304">
        <v>277.90025233683019</v>
      </c>
      <c r="H94" s="304">
        <v>361.51134207311992</v>
      </c>
      <c r="I94" s="304"/>
      <c r="J94" s="304">
        <v>1077.0798003911007</v>
      </c>
      <c r="K94" s="304">
        <v>1280.6940869129148</v>
      </c>
      <c r="L94" s="304">
        <v>1586.1959015048521</v>
      </c>
      <c r="M94" s="304"/>
      <c r="N94" s="304">
        <v>980.37225531363606</v>
      </c>
      <c r="O94" s="304">
        <v>999.31293777166513</v>
      </c>
      <c r="P94" s="304">
        <v>1016.9300911750838</v>
      </c>
      <c r="Q94" s="304"/>
      <c r="R94" s="304">
        <v>194.21351340879698</v>
      </c>
      <c r="S94" s="304">
        <v>115.36627129766511</v>
      </c>
      <c r="T94" s="304">
        <v>52.372539045893113</v>
      </c>
      <c r="U94" s="304"/>
      <c r="V94" s="304">
        <v>62.077869189189833</v>
      </c>
      <c r="W94" s="304">
        <v>61.462141415675703</v>
      </c>
      <c r="X94" s="304">
        <v>63.877343742960932</v>
      </c>
      <c r="Y94" s="304"/>
      <c r="Z94" s="304">
        <v>175.64994209364198</v>
      </c>
      <c r="AA94" s="304">
        <v>181.06774727252846</v>
      </c>
      <c r="AB94" s="304">
        <v>186.03929918887431</v>
      </c>
      <c r="AC94" s="304"/>
      <c r="AD94" s="304">
        <v>107.93677483188529</v>
      </c>
      <c r="AE94" s="304">
        <v>101.09020347934474</v>
      </c>
      <c r="AF94" s="304">
        <v>74.379112482487116</v>
      </c>
      <c r="AG94" s="304"/>
      <c r="AH94" s="304">
        <v>67.686356987342535</v>
      </c>
      <c r="AI94" s="304">
        <v>63.801868486608136</v>
      </c>
      <c r="AJ94" s="304">
        <v>40.271955963999552</v>
      </c>
      <c r="AK94" s="304"/>
      <c r="AL94" s="304">
        <v>9.1445354542836625</v>
      </c>
      <c r="AM94" s="304">
        <v>10.456938114921591</v>
      </c>
      <c r="AN94" s="304">
        <v>10.931537519495587</v>
      </c>
    </row>
    <row r="95" spans="1:40" x14ac:dyDescent="0.3">
      <c r="A95" s="13" t="str">
        <f t="shared" si="80"/>
        <v>Associate professional occupations</v>
      </c>
      <c r="B95" s="305">
        <f t="shared" si="82"/>
        <v>1071.7425486527782</v>
      </c>
      <c r="C95" s="305">
        <f t="shared" si="83"/>
        <v>1090.0397308490203</v>
      </c>
      <c r="D95" s="305">
        <f t="shared" si="84"/>
        <v>1173.1041489686227</v>
      </c>
      <c r="E95" s="305"/>
      <c r="F95" s="304">
        <v>9.9126720864690157</v>
      </c>
      <c r="G95" s="304">
        <v>12.946958062036806</v>
      </c>
      <c r="H95" s="304">
        <v>20.512221329008845</v>
      </c>
      <c r="I95" s="304"/>
      <c r="J95" s="304">
        <v>149.12970972790725</v>
      </c>
      <c r="K95" s="304">
        <v>184.60711397161489</v>
      </c>
      <c r="L95" s="304">
        <v>260.26095069795679</v>
      </c>
      <c r="M95" s="304"/>
      <c r="N95" s="304">
        <v>319.14488998550837</v>
      </c>
      <c r="O95" s="304">
        <v>349.11147443077994</v>
      </c>
      <c r="P95" s="304">
        <v>417.67299425546184</v>
      </c>
      <c r="Q95" s="304"/>
      <c r="R95" s="304">
        <v>135.82707857832793</v>
      </c>
      <c r="S95" s="304">
        <v>114.55195427499703</v>
      </c>
      <c r="T95" s="304">
        <v>94.06192520351722</v>
      </c>
      <c r="U95" s="304"/>
      <c r="V95" s="304">
        <v>60.3225592826198</v>
      </c>
      <c r="W95" s="304">
        <v>55.830451546320113</v>
      </c>
      <c r="X95" s="304">
        <v>59.244852562410976</v>
      </c>
      <c r="Y95" s="304"/>
      <c r="Z95" s="304">
        <v>196.22215676467633</v>
      </c>
      <c r="AA95" s="304">
        <v>190.23624613286376</v>
      </c>
      <c r="AB95" s="304">
        <v>191.39156187651432</v>
      </c>
      <c r="AC95" s="304"/>
      <c r="AD95" s="304">
        <v>131.75839387804288</v>
      </c>
      <c r="AE95" s="304">
        <v>119.71788745693738</v>
      </c>
      <c r="AF95" s="304">
        <v>84.944833233579288</v>
      </c>
      <c r="AG95" s="304"/>
      <c r="AH95" s="304">
        <v>61.115925019115373</v>
      </c>
      <c r="AI95" s="304">
        <v>55.22299047250997</v>
      </c>
      <c r="AJ95" s="304">
        <v>35.192932965241717</v>
      </c>
      <c r="AK95" s="304"/>
      <c r="AL95" s="304">
        <v>8.3091633301111241</v>
      </c>
      <c r="AM95" s="304">
        <v>7.8146545009604704</v>
      </c>
      <c r="AN95" s="304">
        <v>9.8218768449313565</v>
      </c>
    </row>
    <row r="96" spans="1:40" x14ac:dyDescent="0.3">
      <c r="A96" s="13" t="str">
        <f t="shared" si="80"/>
        <v>Administrative and secretarial occupations</v>
      </c>
      <c r="B96" s="305">
        <f t="shared" si="82"/>
        <v>711.07262601870775</v>
      </c>
      <c r="C96" s="305">
        <f t="shared" si="83"/>
        <v>638.87367057327003</v>
      </c>
      <c r="D96" s="305">
        <f t="shared" si="84"/>
        <v>483.12929409480779</v>
      </c>
      <c r="E96" s="305"/>
      <c r="F96" s="304">
        <v>5.0120298853991052</v>
      </c>
      <c r="G96" s="304">
        <v>6.1406283678468778</v>
      </c>
      <c r="H96" s="304">
        <v>8.5639977421596285</v>
      </c>
      <c r="I96" s="304"/>
      <c r="J96" s="304">
        <v>53.318896691923406</v>
      </c>
      <c r="K96" s="304">
        <v>67.39300032731667</v>
      </c>
      <c r="L96" s="304">
        <v>76.818027457411375</v>
      </c>
      <c r="M96" s="304"/>
      <c r="N96" s="304">
        <v>137.41040153605618</v>
      </c>
      <c r="O96" s="304">
        <v>145.57167608210625</v>
      </c>
      <c r="P96" s="304">
        <v>152.70175148887145</v>
      </c>
      <c r="Q96" s="304"/>
      <c r="R96" s="304">
        <v>79.76076175625191</v>
      </c>
      <c r="S96" s="304">
        <v>86.586563579811099</v>
      </c>
      <c r="T96" s="304">
        <v>89.215121025078886</v>
      </c>
      <c r="U96" s="304"/>
      <c r="V96" s="304">
        <v>50.768320494603273</v>
      </c>
      <c r="W96" s="304">
        <v>50.052773634719166</v>
      </c>
      <c r="X96" s="304">
        <v>46.547569380148225</v>
      </c>
      <c r="Y96" s="304"/>
      <c r="Z96" s="304">
        <v>157.9190963365437</v>
      </c>
      <c r="AA96" s="304">
        <v>149.68481519398495</v>
      </c>
      <c r="AB96" s="304">
        <v>83.63244882255789</v>
      </c>
      <c r="AC96" s="304"/>
      <c r="AD96" s="304">
        <v>137.90404755951832</v>
      </c>
      <c r="AE96" s="304">
        <v>94.908502629815402</v>
      </c>
      <c r="AF96" s="304">
        <v>22.072877596121966</v>
      </c>
      <c r="AG96" s="304"/>
      <c r="AH96" s="304">
        <v>79.244804025997567</v>
      </c>
      <c r="AI96" s="304">
        <v>34.168477155212116</v>
      </c>
      <c r="AJ96" s="304">
        <v>2.5429650594384712</v>
      </c>
      <c r="AK96" s="304"/>
      <c r="AL96" s="304">
        <v>9.7342677324143008</v>
      </c>
      <c r="AM96" s="304">
        <v>4.3672336024574303</v>
      </c>
      <c r="AN96" s="304">
        <v>1.034535523019968</v>
      </c>
    </row>
    <row r="97" spans="1:40" x14ac:dyDescent="0.3">
      <c r="A97" s="13" t="str">
        <f t="shared" si="80"/>
        <v>Skilled trades occupations</v>
      </c>
      <c r="B97" s="305">
        <f t="shared" si="82"/>
        <v>74.294241714332173</v>
      </c>
      <c r="C97" s="305">
        <f t="shared" si="83"/>
        <v>71.189096764462164</v>
      </c>
      <c r="D97" s="305">
        <f t="shared" si="84"/>
        <v>63.557841213121492</v>
      </c>
      <c r="E97" s="304"/>
      <c r="F97" s="304">
        <v>0.70156238824184347</v>
      </c>
      <c r="G97" s="304">
        <v>0.88220936452700194</v>
      </c>
      <c r="H97" s="304">
        <v>1.1469193760793184</v>
      </c>
      <c r="I97" s="304"/>
      <c r="J97" s="304">
        <v>2.105732589053487</v>
      </c>
      <c r="K97" s="304">
        <v>3.1390855824109645</v>
      </c>
      <c r="L97" s="304">
        <v>4.9829386185113043</v>
      </c>
      <c r="M97" s="304"/>
      <c r="N97" s="304">
        <v>9.0328456932566255</v>
      </c>
      <c r="O97" s="304">
        <v>11.318049469754772</v>
      </c>
      <c r="P97" s="304">
        <v>13.138602567797706</v>
      </c>
      <c r="Q97" s="304"/>
      <c r="R97" s="304">
        <v>4.1015826863823301</v>
      </c>
      <c r="S97" s="304">
        <v>4.5614559817416955</v>
      </c>
      <c r="T97" s="304">
        <v>5.3375111083304585</v>
      </c>
      <c r="U97" s="304"/>
      <c r="V97" s="304">
        <v>3.4671520253117061</v>
      </c>
      <c r="W97" s="304">
        <v>3.6324297147827513</v>
      </c>
      <c r="X97" s="304">
        <v>4.3100959892190192</v>
      </c>
      <c r="Y97" s="304"/>
      <c r="Z97" s="304">
        <v>16.736013027383596</v>
      </c>
      <c r="AA97" s="304">
        <v>14.282700502300374</v>
      </c>
      <c r="AB97" s="304">
        <v>11.240090171366154</v>
      </c>
      <c r="AC97" s="304"/>
      <c r="AD97" s="304">
        <v>23.026276670642883</v>
      </c>
      <c r="AE97" s="304">
        <v>19.553612970468375</v>
      </c>
      <c r="AF97" s="304">
        <v>12.018134610831563</v>
      </c>
      <c r="AG97" s="304"/>
      <c r="AH97" s="304">
        <v>11.870160899067979</v>
      </c>
      <c r="AI97" s="304">
        <v>11.06287082405535</v>
      </c>
      <c r="AJ97" s="304">
        <v>9.4630755687276444</v>
      </c>
      <c r="AK97" s="304"/>
      <c r="AL97" s="304">
        <v>3.2529157349917202</v>
      </c>
      <c r="AM97" s="304">
        <v>2.7566823544208763</v>
      </c>
      <c r="AN97" s="304">
        <v>1.920473202258318</v>
      </c>
    </row>
    <row r="98" spans="1:40" x14ac:dyDescent="0.3">
      <c r="A98" s="13" t="str">
        <f t="shared" si="80"/>
        <v>Caring, leisure and other service occupations</v>
      </c>
      <c r="B98" s="305">
        <f t="shared" si="82"/>
        <v>1794.0969676857769</v>
      </c>
      <c r="C98" s="305">
        <f t="shared" si="83"/>
        <v>1940.4869745910792</v>
      </c>
      <c r="D98" s="305">
        <f t="shared" si="84"/>
        <v>2103.2211307607317</v>
      </c>
      <c r="E98" s="304"/>
      <c r="F98" s="304">
        <v>1.4368407716604619</v>
      </c>
      <c r="G98" s="304">
        <v>2.2684393063747317</v>
      </c>
      <c r="H98" s="304">
        <v>3.7591044056855254</v>
      </c>
      <c r="I98" s="304"/>
      <c r="J98" s="304">
        <v>74.487168164925791</v>
      </c>
      <c r="K98" s="304">
        <v>107.95103083841764</v>
      </c>
      <c r="L98" s="304">
        <v>176.71227172101845</v>
      </c>
      <c r="M98" s="304"/>
      <c r="N98" s="304">
        <v>215.34096511320448</v>
      </c>
      <c r="O98" s="304">
        <v>257.90995233406102</v>
      </c>
      <c r="P98" s="304">
        <v>322.57759840513182</v>
      </c>
      <c r="Q98" s="304"/>
      <c r="R98" s="304">
        <v>176.78946832247544</v>
      </c>
      <c r="S98" s="304">
        <v>182.63487864416834</v>
      </c>
      <c r="T98" s="304">
        <v>186.70570069168102</v>
      </c>
      <c r="U98" s="304"/>
      <c r="V98" s="304">
        <v>115.18207657295912</v>
      </c>
      <c r="W98" s="304">
        <v>124.02925626505188</v>
      </c>
      <c r="X98" s="304">
        <v>138.690516577464</v>
      </c>
      <c r="Y98" s="304"/>
      <c r="Z98" s="304">
        <v>689.71948935795172</v>
      </c>
      <c r="AA98" s="304">
        <v>768.99210295727664</v>
      </c>
      <c r="AB98" s="304">
        <v>882.0272613817325</v>
      </c>
      <c r="AC98" s="304"/>
      <c r="AD98" s="304">
        <v>455.07298634758149</v>
      </c>
      <c r="AE98" s="304">
        <v>453.25299034466269</v>
      </c>
      <c r="AF98" s="304">
        <v>360.60472177456285</v>
      </c>
      <c r="AG98" s="304"/>
      <c r="AH98" s="304">
        <v>56.466449069009805</v>
      </c>
      <c r="AI98" s="304">
        <v>34.495927621889095</v>
      </c>
      <c r="AJ98" s="304">
        <v>24.070343663983227</v>
      </c>
      <c r="AK98" s="304"/>
      <c r="AL98" s="304">
        <v>9.6015239660085996</v>
      </c>
      <c r="AM98" s="304">
        <v>8.9523962791773055</v>
      </c>
      <c r="AN98" s="304">
        <v>8.0736121394722904</v>
      </c>
    </row>
    <row r="99" spans="1:40" x14ac:dyDescent="0.3">
      <c r="A99" s="13" t="str">
        <f t="shared" si="80"/>
        <v>Sales and customer service occupations</v>
      </c>
      <c r="B99" s="305">
        <f t="shared" si="82"/>
        <v>85.456462767210297</v>
      </c>
      <c r="C99" s="305">
        <f t="shared" si="83"/>
        <v>95.709761538486916</v>
      </c>
      <c r="D99" s="305">
        <f>SUM(H99,L99,P99,T99,X99,AB99,AF99,AJ99,AN99)</f>
        <v>96.673562038205546</v>
      </c>
      <c r="E99" s="304"/>
      <c r="F99" s="304">
        <v>0.52163898073250681</v>
      </c>
      <c r="G99" s="304">
        <v>0.7478255230544234</v>
      </c>
      <c r="H99" s="304">
        <v>1.0540235729274037</v>
      </c>
      <c r="I99" s="304"/>
      <c r="J99" s="304">
        <v>9.3108785501909814</v>
      </c>
      <c r="K99" s="304">
        <v>12.69682648055522</v>
      </c>
      <c r="L99" s="304">
        <v>16.554224367274131</v>
      </c>
      <c r="M99" s="304"/>
      <c r="N99" s="304">
        <v>20.177214985375493</v>
      </c>
      <c r="O99" s="304">
        <v>23.540250844384406</v>
      </c>
      <c r="P99" s="304">
        <v>26.14799022866039</v>
      </c>
      <c r="Q99" s="304"/>
      <c r="R99" s="304">
        <v>11.091430756027901</v>
      </c>
      <c r="S99" s="304">
        <v>11.149986162154301</v>
      </c>
      <c r="T99" s="304">
        <v>11.136603904928286</v>
      </c>
      <c r="U99" s="304"/>
      <c r="V99" s="304">
        <v>7.0353860058906417</v>
      </c>
      <c r="W99" s="304">
        <v>8.0337790229672219</v>
      </c>
      <c r="X99" s="304">
        <v>8.9296629782760011</v>
      </c>
      <c r="Y99" s="304"/>
      <c r="Z99" s="304">
        <v>17.445654202798789</v>
      </c>
      <c r="AA99" s="304">
        <v>19.495332911469806</v>
      </c>
      <c r="AB99" s="304">
        <v>19.655799871585106</v>
      </c>
      <c r="AC99" s="304"/>
      <c r="AD99" s="304">
        <v>13.450774712957097</v>
      </c>
      <c r="AE99" s="304">
        <v>13.459433736140332</v>
      </c>
      <c r="AF99" s="304">
        <v>7.9707654395649667</v>
      </c>
      <c r="AG99" s="304"/>
      <c r="AH99" s="304">
        <v>4.5876639661014114</v>
      </c>
      <c r="AI99" s="304">
        <v>4.2362562035489075</v>
      </c>
      <c r="AJ99" s="304">
        <v>2.3830427351260433</v>
      </c>
      <c r="AK99" s="304"/>
      <c r="AL99" s="304">
        <v>1.8358206071354597</v>
      </c>
      <c r="AM99" s="304">
        <v>2.3500706542122969</v>
      </c>
      <c r="AN99" s="304">
        <v>2.8414489398632177</v>
      </c>
    </row>
    <row r="100" spans="1:40" x14ac:dyDescent="0.3">
      <c r="A100" s="13" t="str">
        <f t="shared" si="80"/>
        <v>Process, plant and machine operatives</v>
      </c>
      <c r="B100" s="305">
        <f t="shared" si="82"/>
        <v>78.805339478499505</v>
      </c>
      <c r="C100" s="305">
        <f t="shared" si="83"/>
        <v>89.392030082738955</v>
      </c>
      <c r="D100" s="305">
        <f t="shared" si="84"/>
        <v>83.346295487804184</v>
      </c>
      <c r="E100" s="304"/>
      <c r="F100" s="304">
        <v>0.67842075127660495</v>
      </c>
      <c r="G100" s="304">
        <v>1.1811713702550068</v>
      </c>
      <c r="H100" s="304">
        <v>1.8856967594050182</v>
      </c>
      <c r="I100" s="304"/>
      <c r="J100" s="304">
        <v>1.9724443248253813</v>
      </c>
      <c r="K100" s="304">
        <v>3.4607634679517703</v>
      </c>
      <c r="L100" s="304">
        <v>5.5373865610569917</v>
      </c>
      <c r="M100" s="304"/>
      <c r="N100" s="304">
        <v>7.3588125159766298</v>
      </c>
      <c r="O100" s="304">
        <v>9.56634269295472</v>
      </c>
      <c r="P100" s="304">
        <v>11.481678880857851</v>
      </c>
      <c r="Q100" s="304"/>
      <c r="R100" s="304">
        <v>3.7295344438748299</v>
      </c>
      <c r="S100" s="304">
        <v>5.3686876856106762</v>
      </c>
      <c r="T100" s="304">
        <v>7.163916311414031</v>
      </c>
      <c r="U100" s="304"/>
      <c r="V100" s="304">
        <v>8.4865139021060418</v>
      </c>
      <c r="W100" s="304">
        <v>10.435395101877425</v>
      </c>
      <c r="X100" s="304">
        <v>13.197107332017504</v>
      </c>
      <c r="Y100" s="304"/>
      <c r="Z100" s="304">
        <v>19.548895406312504</v>
      </c>
      <c r="AA100" s="304">
        <v>21.519210563465176</v>
      </c>
      <c r="AB100" s="304">
        <v>21.290131668660987</v>
      </c>
      <c r="AC100" s="304"/>
      <c r="AD100" s="304">
        <v>14.431981558375735</v>
      </c>
      <c r="AE100" s="304">
        <v>15.142534504019851</v>
      </c>
      <c r="AF100" s="304">
        <v>8.2520158927434011</v>
      </c>
      <c r="AG100" s="304"/>
      <c r="AH100" s="304">
        <v>18.558651688812006</v>
      </c>
      <c r="AI100" s="304">
        <v>18.533188605280522</v>
      </c>
      <c r="AJ100" s="304">
        <v>9.7998899556823247</v>
      </c>
      <c r="AK100" s="304"/>
      <c r="AL100" s="304">
        <v>4.0400848869397699</v>
      </c>
      <c r="AM100" s="304">
        <v>4.1847360913237939</v>
      </c>
      <c r="AN100" s="304">
        <v>4.7384721259660694</v>
      </c>
    </row>
    <row r="101" spans="1:40" x14ac:dyDescent="0.3">
      <c r="A101" s="38" t="str">
        <f t="shared" si="80"/>
        <v>Elementary occupations</v>
      </c>
      <c r="B101" s="307">
        <f t="shared" si="82"/>
        <v>231.46110603878253</v>
      </c>
      <c r="C101" s="307">
        <f t="shared" si="83"/>
        <v>197.88660615547155</v>
      </c>
      <c r="D101" s="307">
        <f t="shared" si="84"/>
        <v>150.04318633395621</v>
      </c>
      <c r="E101" s="307"/>
      <c r="F101" s="307">
        <v>0.20723643028607217</v>
      </c>
      <c r="G101" s="307">
        <v>0.3117955711023418</v>
      </c>
      <c r="H101" s="307">
        <v>0.40979242271890576</v>
      </c>
      <c r="I101" s="307"/>
      <c r="J101" s="307">
        <v>3.3122357962891389</v>
      </c>
      <c r="K101" s="307">
        <v>4.176650306624607</v>
      </c>
      <c r="L101" s="307">
        <v>6.0961834926905247</v>
      </c>
      <c r="M101" s="307"/>
      <c r="N101" s="307">
        <v>10.870960065469781</v>
      </c>
      <c r="O101" s="307">
        <v>12.422115571168289</v>
      </c>
      <c r="P101" s="307">
        <v>15.689178590334601</v>
      </c>
      <c r="Q101" s="307"/>
      <c r="R101" s="307">
        <v>9.9687202482791619</v>
      </c>
      <c r="S101" s="307">
        <v>10.64071129705474</v>
      </c>
      <c r="T101" s="307">
        <v>12.442529396381948</v>
      </c>
      <c r="U101" s="307"/>
      <c r="V101" s="307">
        <v>7.2205868921866161</v>
      </c>
      <c r="W101" s="307">
        <v>7.8680233104954862</v>
      </c>
      <c r="X101" s="307">
        <v>8.9244728053232496</v>
      </c>
      <c r="Y101" s="307"/>
      <c r="Z101" s="307">
        <v>46.842633540782309</v>
      </c>
      <c r="AA101" s="307">
        <v>43.955598314491567</v>
      </c>
      <c r="AB101" s="307">
        <v>37.00802591028966</v>
      </c>
      <c r="AC101" s="307"/>
      <c r="AD101" s="307">
        <v>77.665428543585818</v>
      </c>
      <c r="AE101" s="307">
        <v>70.576281114528001</v>
      </c>
      <c r="AF101" s="307">
        <v>50.494919863386073</v>
      </c>
      <c r="AG101" s="307"/>
      <c r="AH101" s="307">
        <v>57.657717456237179</v>
      </c>
      <c r="AI101" s="307">
        <v>38.178128572989728</v>
      </c>
      <c r="AJ101" s="307">
        <v>11.035430099575638</v>
      </c>
      <c r="AK101" s="307"/>
      <c r="AL101" s="307">
        <v>17.715587065666444</v>
      </c>
      <c r="AM101" s="307">
        <v>9.7573020970167956</v>
      </c>
      <c r="AN101" s="307">
        <v>7.9426537532556285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5234375" defaultRowHeight="12.45" x14ac:dyDescent="0.3"/>
  <cols>
    <col min="1" max="1" width="54.69140625" customWidth="1"/>
    <col min="2" max="6" width="8" customWidth="1"/>
    <col min="7" max="7" width="6.69140625" customWidth="1"/>
    <col min="8" max="10" width="10.69140625" customWidth="1"/>
    <col min="11" max="11" width="9.15234375" customWidth="1"/>
    <col min="12" max="12" width="17.53515625" customWidth="1"/>
    <col min="13" max="17" width="8" customWidth="1"/>
    <col min="18" max="18" width="6.69140625" customWidth="1"/>
    <col min="19" max="21" width="10.69140625" customWidth="1"/>
    <col min="23" max="23" width="17.69140625" customWidth="1"/>
    <col min="24" max="28" width="8" customWidth="1"/>
    <col min="29" max="29" width="6.69140625" customWidth="1"/>
    <col min="30" max="32" width="10.69140625" customWidth="1"/>
    <col min="34" max="34" width="17.69140625" customWidth="1"/>
    <col min="35" max="39" width="7" customWidth="1"/>
    <col min="40" max="40" width="6.69140625" customWidth="1"/>
    <col min="41" max="43" width="10.69140625" customWidth="1"/>
    <col min="44" max="44" width="9.15234375" customWidth="1"/>
    <col min="45" max="45" width="17.69140625" customWidth="1"/>
    <col min="46" max="50" width="8" customWidth="1"/>
    <col min="51" max="51" width="6.69140625" customWidth="1"/>
    <col min="52" max="54" width="10.69140625" customWidth="1"/>
    <col min="56" max="56" width="17.69140625" customWidth="1"/>
    <col min="57" max="61" width="8" customWidth="1"/>
    <col min="62" max="62" width="6.69140625" customWidth="1"/>
    <col min="63" max="65" width="10.69140625" customWidth="1"/>
    <col min="67" max="67" width="17.69140625" customWidth="1"/>
    <col min="68" max="72" width="8" customWidth="1"/>
    <col min="73" max="73" width="6.69140625" customWidth="1"/>
    <col min="74" max="76" width="10.69140625" customWidth="1"/>
    <col min="78" max="78" width="17.53515625" customWidth="1"/>
    <col min="79" max="83" width="8" customWidth="1"/>
    <col min="84" max="84" width="5.84375" customWidth="1"/>
    <col min="85" max="87" width="10.69140625" customWidth="1"/>
    <col min="88" max="88" width="5.84375" customWidth="1"/>
    <col min="89" max="89" width="17.69140625" customWidth="1"/>
    <col min="90" max="94" width="8" customWidth="1"/>
    <col min="95" max="95" width="6.84375" customWidth="1"/>
    <col min="96" max="98" width="10.69140625" customWidth="1"/>
  </cols>
  <sheetData>
    <row r="1" spans="1:98" ht="49.5" customHeight="1" x14ac:dyDescent="0.3">
      <c r="A1" s="379" t="str">
        <f>CONCATENATE("Basic Table 2  Employment Change by Occupation and Replacement Demand, ",name!F4,", ",B$6,"-",F$6,", ",Info!B5)</f>
        <v>Basic Table 2  Employment Change by Occupation and Replacement Demand, RQF8 Doctorate, 2015-2035, England</v>
      </c>
      <c r="B1" s="379"/>
      <c r="C1" s="379"/>
      <c r="D1" s="379"/>
      <c r="E1" s="379"/>
      <c r="F1" s="379"/>
      <c r="G1" s="379"/>
      <c r="H1" s="379"/>
      <c r="I1" s="379"/>
      <c r="J1" s="379"/>
      <c r="L1" s="379" t="str">
        <f>CONCATENATE("Basic Table 2.1  Employment Change by Occupation and Replacement Demand, ",name!F5,", ",M$6,"-",Q$6,", ",Info!B5)</f>
        <v>Basic Table 2.1  Employment Change by Occupation and Replacement Demand, RQF7 Other higher degree, 2015-2035, England</v>
      </c>
      <c r="M1" s="379"/>
      <c r="N1" s="379"/>
      <c r="O1" s="379"/>
      <c r="P1" s="379"/>
      <c r="Q1" s="379"/>
      <c r="R1" s="379"/>
      <c r="S1" s="379"/>
      <c r="T1" s="379"/>
      <c r="U1" s="379"/>
      <c r="W1" s="379" t="str">
        <f>CONCATENATE("Basic Table 2.2  Employment Change by Occupation and Replacement Demand, ",name!F6,", ",X$6,"-",AB$6,", ",Info!B5)</f>
        <v>Basic Table 2.2  Employment Change by Occupation and Replacement Demand, RQF6 First degree, 2015-2035, England</v>
      </c>
      <c r="X1" s="379"/>
      <c r="Y1" s="379"/>
      <c r="Z1" s="379"/>
      <c r="AA1" s="379"/>
      <c r="AB1" s="379"/>
      <c r="AC1" s="379"/>
      <c r="AD1" s="379"/>
      <c r="AE1" s="379"/>
      <c r="AF1" s="379"/>
      <c r="AH1" s="379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England</v>
      </c>
      <c r="AI1" s="379"/>
      <c r="AJ1" s="379"/>
      <c r="AK1" s="379"/>
      <c r="AL1" s="379"/>
      <c r="AM1" s="379"/>
      <c r="AN1" s="379"/>
      <c r="AO1" s="379"/>
      <c r="AP1" s="379"/>
      <c r="AQ1" s="379"/>
      <c r="AS1" s="379" t="str">
        <f>CONCATENATE("Basic Table 2.4  Employment Change by Occupation and Replacement Demand, ",name!F8,", ",AT$6,"-",AX$6,", ",Info!B5)</f>
        <v>Basic Table 2.4  Employment Change by Occupation and Replacement Demand, RQF4 HE below degree level, 2015-2035, England</v>
      </c>
      <c r="AT1" s="379"/>
      <c r="AU1" s="379"/>
      <c r="AV1" s="379"/>
      <c r="AW1" s="379"/>
      <c r="AX1" s="379"/>
      <c r="AY1" s="379"/>
      <c r="AZ1" s="379"/>
      <c r="BA1" s="379"/>
      <c r="BB1" s="379"/>
      <c r="BD1" s="379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England</v>
      </c>
      <c r="BE1" s="379"/>
      <c r="BF1" s="379"/>
      <c r="BG1" s="379"/>
      <c r="BH1" s="379"/>
      <c r="BI1" s="379"/>
      <c r="BJ1" s="379"/>
      <c r="BK1" s="379"/>
      <c r="BL1" s="379"/>
      <c r="BM1" s="379"/>
      <c r="BO1" s="379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England</v>
      </c>
      <c r="BP1" s="379"/>
      <c r="BQ1" s="379"/>
      <c r="BR1" s="379"/>
      <c r="BS1" s="379"/>
      <c r="BT1" s="379"/>
      <c r="BU1" s="379"/>
      <c r="BV1" s="379"/>
      <c r="BW1" s="379"/>
      <c r="BX1" s="379"/>
      <c r="BZ1" s="379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England</v>
      </c>
      <c r="CA1" s="379"/>
      <c r="CB1" s="379"/>
      <c r="CC1" s="379"/>
      <c r="CD1" s="379"/>
      <c r="CE1" s="379"/>
      <c r="CF1" s="379"/>
      <c r="CG1" s="379"/>
      <c r="CH1" s="379"/>
      <c r="CI1" s="379"/>
      <c r="CK1" s="379" t="str">
        <f>CONCATENATE("Basic Table 2.8  Employment Change by Occupation and Replacement Demand, ",name!F12,", ",CL$6,"-",CP$6,", ",Info!B5)</f>
        <v>Basic Table 2.8  Employment Change by Occupation and Replacement Demand, No Qualification, 2015-2035, England</v>
      </c>
      <c r="CL1" s="379"/>
      <c r="CM1" s="379"/>
      <c r="CN1" s="379"/>
      <c r="CO1" s="379"/>
      <c r="CP1" s="379"/>
      <c r="CQ1" s="379"/>
      <c r="CR1" s="379"/>
      <c r="CS1" s="379"/>
      <c r="CT1" s="379"/>
    </row>
    <row r="2" spans="1:98" ht="12.75" customHeight="1" x14ac:dyDescent="0.35">
      <c r="A2" s="181" t="s">
        <v>538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3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3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3">
      <c r="A8" s="10" t="str">
        <f>name!D4</f>
        <v>11 Corporate managers and directors</v>
      </c>
      <c r="B8" s="68">
        <v>27.834189236457156</v>
      </c>
      <c r="C8" s="68">
        <v>38.131656227310252</v>
      </c>
      <c r="D8" s="68">
        <v>39.870453276102609</v>
      </c>
      <c r="E8" s="68">
        <v>48.268880466374341</v>
      </c>
      <c r="F8" s="68">
        <v>70.72557789862654</v>
      </c>
      <c r="G8" s="10"/>
      <c r="H8" s="68">
        <f>F8-D8</f>
        <v>30.855124622523931</v>
      </c>
      <c r="I8" s="68">
        <f>'RD T1'!E36</f>
        <v>29.09086082246926</v>
      </c>
      <c r="J8" s="68">
        <f>SUM(H8:I8)</f>
        <v>59.945985444993191</v>
      </c>
      <c r="L8" t="str">
        <f>A8</f>
        <v>11 Corporate managers and directors</v>
      </c>
      <c r="M8" s="68">
        <v>229.1693071903037</v>
      </c>
      <c r="N8" s="68">
        <v>321.7794308876442</v>
      </c>
      <c r="O8" s="68">
        <v>334.53804190043962</v>
      </c>
      <c r="P8" s="68">
        <v>393.25427247845158</v>
      </c>
      <c r="Q8" s="68">
        <v>569.11710149643704</v>
      </c>
      <c r="R8" s="10"/>
      <c r="S8" s="68">
        <f>Q8-O8</f>
        <v>234.57905959599742</v>
      </c>
      <c r="T8" s="68">
        <f>'RD T1'!E65</f>
        <v>237.50753400565486</v>
      </c>
      <c r="U8" s="68">
        <f>SUM(S8:T8)</f>
        <v>472.08659360165228</v>
      </c>
      <c r="W8" t="str">
        <f>A8</f>
        <v>11 Corporate managers and directors</v>
      </c>
      <c r="X8" s="68">
        <v>553.70674682180618</v>
      </c>
      <c r="Y8" s="68">
        <v>663.24823440979935</v>
      </c>
      <c r="Z8" s="68">
        <v>677.38190194145841</v>
      </c>
      <c r="AA8" s="68">
        <v>648.54478817808217</v>
      </c>
      <c r="AB8" s="68">
        <v>723.68181126038405</v>
      </c>
      <c r="AC8" s="68"/>
      <c r="AD8" s="68">
        <f>AB8-Z8</f>
        <v>46.299909318925643</v>
      </c>
      <c r="AE8" s="68">
        <f>'RD T1'!E94</f>
        <v>390.86764933574307</v>
      </c>
      <c r="AF8" s="68">
        <f>SUM(AD8:AE8)</f>
        <v>437.16755865466871</v>
      </c>
      <c r="AH8" t="str">
        <f>L8</f>
        <v>11 Corporate managers and directors</v>
      </c>
      <c r="AI8" s="68">
        <v>103.98195563510603</v>
      </c>
      <c r="AJ8" s="68">
        <v>117.62909964697859</v>
      </c>
      <c r="AK8" s="68">
        <v>125.51937758512969</v>
      </c>
      <c r="AL8" s="68">
        <v>114.49679664566609</v>
      </c>
      <c r="AM8" s="68">
        <v>122.81543065602975</v>
      </c>
      <c r="AN8" s="68"/>
      <c r="AO8" s="68">
        <f>AM8-AK8</f>
        <v>-2.7039469290999421</v>
      </c>
      <c r="AP8" s="68">
        <f>'RD T1'!E123</f>
        <v>63.036448798154204</v>
      </c>
      <c r="AQ8" s="68">
        <f>SUM(AO8:AP8)</f>
        <v>60.332501869054262</v>
      </c>
      <c r="AS8" t="str">
        <f>W8</f>
        <v>11 Corporate managers and directors</v>
      </c>
      <c r="AT8" s="68">
        <v>153.9536888378328</v>
      </c>
      <c r="AU8" s="68">
        <v>174.93465860437558</v>
      </c>
      <c r="AV8" s="68">
        <v>185.37923214333375</v>
      </c>
      <c r="AW8" s="68">
        <v>166.84507779013265</v>
      </c>
      <c r="AX8" s="68">
        <v>179.74467180191087</v>
      </c>
      <c r="AY8" s="68"/>
      <c r="AZ8" s="68">
        <f>AX8-AV8</f>
        <v>-5.6345603414228833</v>
      </c>
      <c r="BA8" s="68">
        <f>'RD T1'!E152</f>
        <v>92.746863032902354</v>
      </c>
      <c r="BB8" s="68">
        <f>SUM(AZ8:BA8)</f>
        <v>87.112302691479471</v>
      </c>
      <c r="BD8" t="str">
        <f>AH8</f>
        <v>11 Corporate managers and directors</v>
      </c>
      <c r="BE8" s="68">
        <v>330.40785350206124</v>
      </c>
      <c r="BF8" s="68">
        <v>380.13942273018102</v>
      </c>
      <c r="BG8" s="68">
        <v>397.6061392904486</v>
      </c>
      <c r="BH8" s="68">
        <v>337.73628928504189</v>
      </c>
      <c r="BI8" s="68">
        <v>346.63098870678908</v>
      </c>
      <c r="BJ8" s="68"/>
      <c r="BK8" s="68">
        <f>BI8-BG8</f>
        <v>-50.975150583659513</v>
      </c>
      <c r="BL8" s="68">
        <f>'RD T1'!E181</f>
        <v>151.53466173205058</v>
      </c>
      <c r="BM8" s="68">
        <f>SUM(BK8:BL8)</f>
        <v>100.55951114839107</v>
      </c>
      <c r="BO8" t="str">
        <f>AS8</f>
        <v>11 Corporate managers and directors</v>
      </c>
      <c r="BP8" s="68">
        <v>272.65014188119261</v>
      </c>
      <c r="BQ8" s="68">
        <v>302.00516356502823</v>
      </c>
      <c r="BR8" s="68">
        <v>291.23100410902242</v>
      </c>
      <c r="BS8" s="68">
        <v>237.51432649438979</v>
      </c>
      <c r="BT8" s="68">
        <v>183.69372219881353</v>
      </c>
      <c r="BU8" s="68"/>
      <c r="BV8" s="68">
        <f>BT8-BR8</f>
        <v>-107.53728191020889</v>
      </c>
      <c r="BW8" s="68">
        <f>'RD T1'!E210</f>
        <v>101.32511146598017</v>
      </c>
      <c r="BX8" s="68">
        <f>SUM(BV8:BW8)</f>
        <v>-6.2121704442287182</v>
      </c>
      <c r="BZ8" t="str">
        <f>BD8</f>
        <v>11 Corporate managers and directors</v>
      </c>
      <c r="CA8" s="68">
        <v>189.47155375543372</v>
      </c>
      <c r="CB8" s="68">
        <v>210.57673545437109</v>
      </c>
      <c r="CC8" s="68">
        <v>209.1630231570343</v>
      </c>
      <c r="CD8" s="68">
        <v>184.12871728309759</v>
      </c>
      <c r="CE8" s="68">
        <v>138.36696584850117</v>
      </c>
      <c r="CF8" s="68"/>
      <c r="CG8" s="68">
        <f>CE8-CC8</f>
        <v>-70.796057308533136</v>
      </c>
      <c r="CH8" s="68">
        <f>'RD T1'!E239</f>
        <v>72.622808315162914</v>
      </c>
      <c r="CI8" s="68">
        <f>SUM(CG8:CH8)</f>
        <v>1.8267510066297774</v>
      </c>
      <c r="CK8" t="str">
        <f>BO8</f>
        <v>11 Corporate managers and directors</v>
      </c>
      <c r="CL8" s="68">
        <v>38.258202166675375</v>
      </c>
      <c r="CM8" s="68">
        <v>43.9990744433956</v>
      </c>
      <c r="CN8" s="68">
        <v>40.174012245844281</v>
      </c>
      <c r="CO8" s="68">
        <v>32.947876925058871</v>
      </c>
      <c r="CP8" s="68">
        <v>32.917747041718776</v>
      </c>
      <c r="CQ8" s="68"/>
      <c r="CR8" s="68">
        <f>CP8-CN8</f>
        <v>-7.2562652041255049</v>
      </c>
      <c r="CS8" s="68">
        <f>'RD T1'!E268</f>
        <v>11.077191653999796</v>
      </c>
      <c r="CT8" s="68">
        <f>SUM(CR8:CS8)</f>
        <v>3.8209264498742908</v>
      </c>
    </row>
    <row r="9" spans="1:98" x14ac:dyDescent="0.3">
      <c r="A9" s="10" t="str">
        <f>name!D5</f>
        <v>12 Other managers and proprietors</v>
      </c>
      <c r="B9" s="68">
        <v>10.838258972987227</v>
      </c>
      <c r="C9" s="68">
        <v>14.298240494901567</v>
      </c>
      <c r="D9" s="68">
        <v>13.884806301299168</v>
      </c>
      <c r="E9" s="68">
        <v>22.908850866206819</v>
      </c>
      <c r="F9" s="68">
        <v>36.997298072753949</v>
      </c>
      <c r="H9" s="68">
        <f>F9-D9</f>
        <v>23.112491771454781</v>
      </c>
      <c r="I9" s="68">
        <f>'RD T1'!E37</f>
        <v>16.082294812302884</v>
      </c>
      <c r="J9" s="68">
        <f t="shared" ref="J9:J32" si="26">SUM(H9:I9)</f>
        <v>39.194786583757661</v>
      </c>
      <c r="L9" t="str">
        <f t="shared" ref="L9:L32" si="27">A9</f>
        <v>12 Other managers and proprietors</v>
      </c>
      <c r="M9" s="68">
        <v>90.57527934153822</v>
      </c>
      <c r="N9" s="68">
        <v>118.42922635538133</v>
      </c>
      <c r="O9" s="68">
        <v>122.45162622075458</v>
      </c>
      <c r="P9" s="68">
        <v>192.32654760562332</v>
      </c>
      <c r="Q9" s="68">
        <v>303.70862931052523</v>
      </c>
      <c r="S9" s="68">
        <f t="shared" ref="S9:S32" si="28">Q9-O9</f>
        <v>181.25700308977065</v>
      </c>
      <c r="T9" s="68">
        <f>'RD T1'!E66</f>
        <v>132.25189191259875</v>
      </c>
      <c r="U9" s="68">
        <f t="shared" ref="U9:U32" si="29">SUM(S9:T9)</f>
        <v>313.5088950023694</v>
      </c>
      <c r="W9" t="str">
        <f t="shared" ref="W9:W32" si="30">A9</f>
        <v>12 Other managers and proprietors</v>
      </c>
      <c r="X9" s="68">
        <v>209.44297124184101</v>
      </c>
      <c r="Y9" s="68">
        <v>229.34095261100708</v>
      </c>
      <c r="Z9" s="68">
        <v>236.19191577325162</v>
      </c>
      <c r="AA9" s="68">
        <v>305.5043333370316</v>
      </c>
      <c r="AB9" s="68">
        <v>373.21877898849243</v>
      </c>
      <c r="AC9" s="68"/>
      <c r="AD9" s="68">
        <f t="shared" ref="AD9:AD32" si="31">AB9-Z9</f>
        <v>137.02686321524081</v>
      </c>
      <c r="AE9" s="68">
        <f>'RD T1'!E95</f>
        <v>206.3532381088333</v>
      </c>
      <c r="AF9" s="68">
        <f t="shared" ref="AF9:AF32" si="32">SUM(AD9:AE9)</f>
        <v>343.38010132407408</v>
      </c>
      <c r="AH9" t="str">
        <f t="shared" ref="AH9:AH32" si="33">L9</f>
        <v>12 Other managers and proprietors</v>
      </c>
      <c r="AI9" s="68">
        <v>56.280848937377286</v>
      </c>
      <c r="AJ9" s="68">
        <v>61.840208724493905</v>
      </c>
      <c r="AK9" s="68">
        <v>67.326086686381174</v>
      </c>
      <c r="AL9" s="68">
        <v>81.506307315708852</v>
      </c>
      <c r="AM9" s="68">
        <v>99.277563165448882</v>
      </c>
      <c r="AN9" s="68"/>
      <c r="AO9" s="68">
        <f t="shared" ref="AO9:AO32" si="34">AM9-AK9</f>
        <v>31.951476479067708</v>
      </c>
      <c r="AP9" s="68">
        <f>'RD T1'!E124</f>
        <v>55.247318243072684</v>
      </c>
      <c r="AQ9" s="68">
        <f t="shared" ref="AQ9:AQ32" si="35">SUM(AO9:AP9)</f>
        <v>87.198794722140391</v>
      </c>
      <c r="AS9" t="str">
        <f t="shared" ref="AS9:AS32" si="36">W9</f>
        <v>12 Other managers and proprietors</v>
      </c>
      <c r="AT9" s="68">
        <v>66.954285581280033</v>
      </c>
      <c r="AU9" s="68">
        <v>72.291579717881262</v>
      </c>
      <c r="AV9" s="68">
        <v>75.626966821140471</v>
      </c>
      <c r="AW9" s="68">
        <v>95.047396890490432</v>
      </c>
      <c r="AX9" s="68">
        <v>110.13897546090458</v>
      </c>
      <c r="AY9" s="68"/>
      <c r="AZ9" s="68">
        <f t="shared" ref="AZ9:AZ32" si="37">AX9-AV9</f>
        <v>34.512008639764105</v>
      </c>
      <c r="BA9" s="68">
        <f>'RD T1'!E153</f>
        <v>59.566460993395275</v>
      </c>
      <c r="BB9" s="68">
        <f t="shared" ref="BB9:BB32" si="38">SUM(AZ9:BA9)</f>
        <v>94.078469633159386</v>
      </c>
      <c r="BD9" t="str">
        <f t="shared" ref="BD9:BD32" si="39">AH9</f>
        <v>12 Other managers and proprietors</v>
      </c>
      <c r="BE9" s="68">
        <v>167.41007758284647</v>
      </c>
      <c r="BF9" s="68">
        <v>163.63522574890425</v>
      </c>
      <c r="BG9" s="68">
        <v>169.6661240836971</v>
      </c>
      <c r="BH9" s="68">
        <v>188.81742062917573</v>
      </c>
      <c r="BI9" s="68">
        <v>198.647720407625</v>
      </c>
      <c r="BJ9" s="68"/>
      <c r="BK9" s="68">
        <f t="shared" ref="BK9:BK32" si="40">BI9-BG9</f>
        <v>28.981596323927903</v>
      </c>
      <c r="BL9" s="68">
        <f>'RD T1'!E182</f>
        <v>89.551186171413818</v>
      </c>
      <c r="BM9" s="68">
        <f t="shared" ref="BM9:BM32" si="41">SUM(BK9:BL9)</f>
        <v>118.53278249534172</v>
      </c>
      <c r="BO9" t="str">
        <f t="shared" ref="BO9:BO32" si="42">AS9</f>
        <v>12 Other managers and proprietors</v>
      </c>
      <c r="BP9" s="68">
        <v>167.15219872305892</v>
      </c>
      <c r="BQ9" s="68">
        <v>173.55071551956138</v>
      </c>
      <c r="BR9" s="68">
        <v>167.47576350175376</v>
      </c>
      <c r="BS9" s="68">
        <v>192.59866064400777</v>
      </c>
      <c r="BT9" s="68">
        <v>175.96865931007986</v>
      </c>
      <c r="BU9" s="68"/>
      <c r="BV9" s="68">
        <f t="shared" ref="BV9:BV32" si="43">BT9-BR9</f>
        <v>8.4928958083260966</v>
      </c>
      <c r="BW9" s="68">
        <f>'RD T1'!E211</f>
        <v>98.872053936131579</v>
      </c>
      <c r="BX9" s="68">
        <f t="shared" ref="BX9:BX32" si="44">SUM(BV9:BW9)</f>
        <v>107.36494974445768</v>
      </c>
      <c r="BZ9" t="str">
        <f t="shared" ref="BZ9:BZ32" si="45">BD9</f>
        <v>12 Other managers and proprietors</v>
      </c>
      <c r="CA9" s="68">
        <v>114.14286183822627</v>
      </c>
      <c r="CB9" s="68">
        <v>117.0726489146397</v>
      </c>
      <c r="CC9" s="68">
        <v>109.65039322397118</v>
      </c>
      <c r="CD9" s="68">
        <v>117.37527005327952</v>
      </c>
      <c r="CE9" s="68">
        <v>88.67866273510063</v>
      </c>
      <c r="CF9" s="68"/>
      <c r="CG9" s="68">
        <f t="shared" ref="CG9:CG32" si="46">CE9-CC9</f>
        <v>-20.971730488870548</v>
      </c>
      <c r="CH9" s="68">
        <f>'RD T1'!E240</f>
        <v>48.301988905800052</v>
      </c>
      <c r="CI9" s="68">
        <f t="shared" ref="CI9:CI32" si="47">SUM(CG9:CH9)</f>
        <v>27.330258416929503</v>
      </c>
      <c r="CK9" t="str">
        <f t="shared" ref="CK9:CK32" si="48">BO9</f>
        <v>12 Other managers and proprietors</v>
      </c>
      <c r="CL9" s="68">
        <v>40.724545374704164</v>
      </c>
      <c r="CM9" s="68">
        <v>38.885429133441839</v>
      </c>
      <c r="CN9" s="68">
        <v>34.82619674150844</v>
      </c>
      <c r="CO9" s="68">
        <v>41.846200015318125</v>
      </c>
      <c r="CP9" s="68">
        <v>42.831401419521015</v>
      </c>
      <c r="CQ9" s="68"/>
      <c r="CR9" s="68">
        <f t="shared" ref="CR9:CR32" si="49">CP9-CN9</f>
        <v>8.005204678012575</v>
      </c>
      <c r="CS9" s="68">
        <f>'RD T1'!E269</f>
        <v>15.098261744752165</v>
      </c>
      <c r="CT9" s="68">
        <f t="shared" ref="CT9:CT32" si="50">SUM(CR9:CS9)</f>
        <v>23.10346642276474</v>
      </c>
    </row>
    <row r="10" spans="1:98" x14ac:dyDescent="0.3">
      <c r="A10" s="10" t="str">
        <f>name!D6</f>
        <v>21 Science, research, engineering and technology professionals</v>
      </c>
      <c r="B10" s="68">
        <v>74.029965582624328</v>
      </c>
      <c r="C10" s="68">
        <v>96.724503492151541</v>
      </c>
      <c r="D10" s="68">
        <v>98.409257737027872</v>
      </c>
      <c r="E10" s="68">
        <v>123.34033890849459</v>
      </c>
      <c r="F10" s="68">
        <v>163.93712441234243</v>
      </c>
      <c r="G10" s="11"/>
      <c r="H10" s="68">
        <f t="shared" ref="H10:H32" si="51">F10-D10</f>
        <v>65.527866675314556</v>
      </c>
      <c r="I10" s="68">
        <f>'RD T1'!E38</f>
        <v>51.5422254719469</v>
      </c>
      <c r="J10" s="68">
        <f t="shared" si="26"/>
        <v>117.07009214726145</v>
      </c>
      <c r="L10" t="str">
        <f t="shared" si="27"/>
        <v>21 Science, research, engineering and technology professionals</v>
      </c>
      <c r="M10" s="68">
        <v>293.08388940470502</v>
      </c>
      <c r="N10" s="68">
        <v>398.68689988918288</v>
      </c>
      <c r="O10" s="68">
        <v>422.62994568685974</v>
      </c>
      <c r="P10" s="68">
        <v>553.58052999212896</v>
      </c>
      <c r="Q10" s="68">
        <v>771.27839088626536</v>
      </c>
      <c r="R10" s="11"/>
      <c r="S10" s="68">
        <f t="shared" si="28"/>
        <v>348.64844519940561</v>
      </c>
      <c r="T10" s="68">
        <f>'RD T1'!E67</f>
        <v>244.86474284290435</v>
      </c>
      <c r="U10" s="68">
        <f t="shared" si="29"/>
        <v>593.51318804230993</v>
      </c>
      <c r="W10" t="str">
        <f t="shared" si="30"/>
        <v>21 Science, research, engineering and technology professionals</v>
      </c>
      <c r="X10" s="68">
        <v>558.9123034457748</v>
      </c>
      <c r="Y10" s="68">
        <v>614.69825509513998</v>
      </c>
      <c r="Z10" s="68">
        <v>638.40250635618258</v>
      </c>
      <c r="AA10" s="68">
        <v>651.84630241969921</v>
      </c>
      <c r="AB10" s="68">
        <v>669.90101424095553</v>
      </c>
      <c r="AC10" s="68"/>
      <c r="AD10" s="68">
        <f t="shared" si="31"/>
        <v>31.498507884772948</v>
      </c>
      <c r="AE10" s="68">
        <f>'RD T1'!E96</f>
        <v>262.37427003674168</v>
      </c>
      <c r="AF10" s="68">
        <f t="shared" si="32"/>
        <v>293.87277792151463</v>
      </c>
      <c r="AH10" t="str">
        <f t="shared" si="33"/>
        <v>21 Science, research, engineering and technology professionals</v>
      </c>
      <c r="AI10" s="68">
        <v>58.320107472710632</v>
      </c>
      <c r="AJ10" s="68">
        <v>62.992306473926249</v>
      </c>
      <c r="AK10" s="68">
        <v>69.227298777665112</v>
      </c>
      <c r="AL10" s="68">
        <v>71.450635504262294</v>
      </c>
      <c r="AM10" s="68">
        <v>77.609314038034697</v>
      </c>
      <c r="AN10" s="68"/>
      <c r="AO10" s="68">
        <f t="shared" si="34"/>
        <v>8.3820152603695846</v>
      </c>
      <c r="AP10" s="68">
        <f>'RD T1'!E125</f>
        <v>28.535244779405165</v>
      </c>
      <c r="AQ10" s="68">
        <f t="shared" si="35"/>
        <v>36.917260039774746</v>
      </c>
      <c r="AS10" t="str">
        <f t="shared" si="36"/>
        <v>21 Science, research, engineering and technology professionals</v>
      </c>
      <c r="AT10" s="68">
        <v>145.26925257149963</v>
      </c>
      <c r="AU10" s="68">
        <v>155.67222192215124</v>
      </c>
      <c r="AV10" s="68">
        <v>162.22978584307265</v>
      </c>
      <c r="AW10" s="68">
        <v>152.51269238048192</v>
      </c>
      <c r="AX10" s="68">
        <v>151.17964589945495</v>
      </c>
      <c r="AY10" s="68"/>
      <c r="AZ10" s="68">
        <f t="shared" si="37"/>
        <v>-11.050139943617694</v>
      </c>
      <c r="BA10" s="68">
        <f>'RD T1'!E154</f>
        <v>56.597084711737018</v>
      </c>
      <c r="BB10" s="68">
        <f t="shared" si="38"/>
        <v>45.546944768119324</v>
      </c>
      <c r="BD10" t="str">
        <f t="shared" si="39"/>
        <v>21 Science, research, engineering and technology professionals</v>
      </c>
      <c r="BE10" s="68">
        <v>198.6151285679129</v>
      </c>
      <c r="BF10" s="68">
        <v>213.63696952304988</v>
      </c>
      <c r="BG10" s="68">
        <v>227.04543583694488</v>
      </c>
      <c r="BH10" s="68">
        <v>202.26117443645686</v>
      </c>
      <c r="BI10" s="68">
        <v>191.77517294149266</v>
      </c>
      <c r="BJ10" s="68"/>
      <c r="BK10" s="68">
        <f t="shared" si="40"/>
        <v>-35.27026289545222</v>
      </c>
      <c r="BL10" s="68">
        <f>'RD T1'!E183</f>
        <v>58.979782605575927</v>
      </c>
      <c r="BM10" s="68">
        <f t="shared" si="41"/>
        <v>23.709519710123708</v>
      </c>
      <c r="BO10" t="str">
        <f t="shared" si="42"/>
        <v>21 Science, research, engineering and technology professionals</v>
      </c>
      <c r="BP10" s="68">
        <v>147.53450964849318</v>
      </c>
      <c r="BQ10" s="68">
        <v>159.38527649512605</v>
      </c>
      <c r="BR10" s="68">
        <v>160.74396651192754</v>
      </c>
      <c r="BS10" s="68">
        <v>148.35903573329364</v>
      </c>
      <c r="BT10" s="68">
        <v>125.85431287214381</v>
      </c>
      <c r="BU10" s="68"/>
      <c r="BV10" s="68">
        <f t="shared" si="43"/>
        <v>-34.889653639783731</v>
      </c>
      <c r="BW10" s="68">
        <f>'RD T1'!E212</f>
        <v>47.57995136537501</v>
      </c>
      <c r="BX10" s="68">
        <f t="shared" si="44"/>
        <v>12.690297725591279</v>
      </c>
      <c r="BZ10" t="str">
        <f t="shared" si="45"/>
        <v>21 Science, research, engineering and technology professionals</v>
      </c>
      <c r="CA10" s="68">
        <v>90.488203427139084</v>
      </c>
      <c r="CB10" s="68">
        <v>99.012553713410099</v>
      </c>
      <c r="CC10" s="68">
        <v>97.374645861795202</v>
      </c>
      <c r="CD10" s="68">
        <v>90.770108522686442</v>
      </c>
      <c r="CE10" s="68">
        <v>61.290661217013763</v>
      </c>
      <c r="CF10" s="68"/>
      <c r="CG10" s="68">
        <f t="shared" si="46"/>
        <v>-36.083984644781438</v>
      </c>
      <c r="CH10" s="68">
        <f>'RD T1'!E241</f>
        <v>24.0990460721404</v>
      </c>
      <c r="CI10" s="68">
        <f t="shared" si="47"/>
        <v>-11.984938572641038</v>
      </c>
      <c r="CK10" t="str">
        <f t="shared" si="48"/>
        <v>21 Science, research, engineering and technology professionals</v>
      </c>
      <c r="CL10" s="68">
        <v>18.826536956687811</v>
      </c>
      <c r="CM10" s="68">
        <v>23.4614062334804</v>
      </c>
      <c r="CN10" s="68">
        <v>22.934972493432852</v>
      </c>
      <c r="CO10" s="68">
        <v>26.512913486817585</v>
      </c>
      <c r="CP10" s="68">
        <v>28.607542056331976</v>
      </c>
      <c r="CQ10" s="68"/>
      <c r="CR10" s="68">
        <f t="shared" si="49"/>
        <v>5.672569562899124</v>
      </c>
      <c r="CS10" s="68">
        <f>'RD T1'!E270</f>
        <v>7.9232381242494458</v>
      </c>
      <c r="CT10" s="68">
        <f t="shared" si="50"/>
        <v>13.59580768714857</v>
      </c>
    </row>
    <row r="11" spans="1:98" x14ac:dyDescent="0.3">
      <c r="A11" s="10" t="str">
        <f>name!D7</f>
        <v>22 Health professionals</v>
      </c>
      <c r="B11" s="68">
        <v>65.067974649223785</v>
      </c>
      <c r="C11" s="68">
        <v>90.128782069398625</v>
      </c>
      <c r="D11" s="68">
        <v>91.512176509938257</v>
      </c>
      <c r="E11" s="68">
        <v>121.32369022198579</v>
      </c>
      <c r="F11" s="68">
        <v>167.65678155051128</v>
      </c>
      <c r="G11" s="11"/>
      <c r="H11" s="68">
        <f t="shared" si="51"/>
        <v>76.144605040573026</v>
      </c>
      <c r="I11" s="68">
        <f>'RD T1'!E39</f>
        <v>66.249913257128142</v>
      </c>
      <c r="J11" s="68">
        <f t="shared" si="26"/>
        <v>142.39451829770115</v>
      </c>
      <c r="L11" t="str">
        <f t="shared" si="27"/>
        <v>22 Health professionals</v>
      </c>
      <c r="M11" s="68">
        <v>195.83342089837345</v>
      </c>
      <c r="N11" s="68">
        <v>272.077296526976</v>
      </c>
      <c r="O11" s="68">
        <v>273.98678048943981</v>
      </c>
      <c r="P11" s="68">
        <v>350.37482955166212</v>
      </c>
      <c r="Q11" s="68">
        <v>468.66956531031553</v>
      </c>
      <c r="R11" s="11"/>
      <c r="S11" s="68">
        <f t="shared" si="28"/>
        <v>194.68278482087572</v>
      </c>
      <c r="T11" s="68">
        <f>'RD T1'!E68</f>
        <v>201.62100770335704</v>
      </c>
      <c r="U11" s="68">
        <f t="shared" si="29"/>
        <v>396.30379252423279</v>
      </c>
      <c r="W11" t="str">
        <f t="shared" si="30"/>
        <v>22 Health professionals</v>
      </c>
      <c r="X11" s="68">
        <v>418.31725437599079</v>
      </c>
      <c r="Y11" s="68">
        <v>489.79379072339032</v>
      </c>
      <c r="Z11" s="68">
        <v>502.03871807858548</v>
      </c>
      <c r="AA11" s="68">
        <v>551.78626733149781</v>
      </c>
      <c r="AB11" s="68">
        <v>598.15162445855049</v>
      </c>
      <c r="AC11" s="68"/>
      <c r="AD11" s="68">
        <f t="shared" si="31"/>
        <v>96.112906379965011</v>
      </c>
      <c r="AE11" s="68">
        <f>'RD T1'!E97</f>
        <v>324.06657946408365</v>
      </c>
      <c r="AF11" s="68">
        <f t="shared" si="32"/>
        <v>420.17948584404866</v>
      </c>
      <c r="AH11" t="str">
        <f t="shared" si="33"/>
        <v>22 Health professionals</v>
      </c>
      <c r="AI11" s="68">
        <v>219.56593930021211</v>
      </c>
      <c r="AJ11" s="68">
        <v>174.43052767682693</v>
      </c>
      <c r="AK11" s="68">
        <v>161.71136378428409</v>
      </c>
      <c r="AL11" s="68">
        <v>96.518578376780113</v>
      </c>
      <c r="AM11" s="68">
        <v>36.41537195401289</v>
      </c>
      <c r="AN11" s="68"/>
      <c r="AO11" s="68">
        <f t="shared" si="34"/>
        <v>-125.29599183027119</v>
      </c>
      <c r="AP11" s="68">
        <f>'RD T1'!E126</f>
        <v>32.23931238288182</v>
      </c>
      <c r="AQ11" s="68">
        <f t="shared" si="35"/>
        <v>-93.056679447389371</v>
      </c>
      <c r="AS11" t="str">
        <f t="shared" si="36"/>
        <v>22 Health professionals</v>
      </c>
      <c r="AT11" s="68">
        <v>28.847945917695764</v>
      </c>
      <c r="AU11" s="68">
        <v>33.332322609351159</v>
      </c>
      <c r="AV11" s="68">
        <v>37.674851032582815</v>
      </c>
      <c r="AW11" s="68">
        <v>39.547187554731387</v>
      </c>
      <c r="AX11" s="68">
        <v>43.333610402409889</v>
      </c>
      <c r="AY11" s="68"/>
      <c r="AZ11" s="68">
        <f t="shared" si="37"/>
        <v>5.6587593698270737</v>
      </c>
      <c r="BA11" s="68">
        <f>'RD T1'!E155</f>
        <v>20.838886057175046</v>
      </c>
      <c r="BB11" s="68">
        <f t="shared" si="38"/>
        <v>26.497645427002119</v>
      </c>
      <c r="BD11" t="str">
        <f t="shared" si="39"/>
        <v>22 Health professionals</v>
      </c>
      <c r="BE11" s="68">
        <v>105.92859778961335</v>
      </c>
      <c r="BF11" s="68">
        <v>133.26570740640668</v>
      </c>
      <c r="BG11" s="68">
        <v>135.91196801701363</v>
      </c>
      <c r="BH11" s="68">
        <v>149.16582510871501</v>
      </c>
      <c r="BI11" s="68">
        <v>157.95784464249016</v>
      </c>
      <c r="BJ11" s="68"/>
      <c r="BK11" s="68">
        <f t="shared" si="40"/>
        <v>22.045876625476524</v>
      </c>
      <c r="BL11" s="68">
        <f>'RD T1'!E184</f>
        <v>82.780522557051157</v>
      </c>
      <c r="BM11" s="68">
        <f t="shared" si="41"/>
        <v>104.82639918252768</v>
      </c>
      <c r="BO11" t="str">
        <f t="shared" si="42"/>
        <v>22 Health professionals</v>
      </c>
      <c r="BP11" s="68">
        <v>80.957220453168972</v>
      </c>
      <c r="BQ11" s="68">
        <v>95.567368116389304</v>
      </c>
      <c r="BR11" s="68">
        <v>91.999950513641693</v>
      </c>
      <c r="BS11" s="68">
        <v>91.456974844325799</v>
      </c>
      <c r="BT11" s="68">
        <v>71.857967068606982</v>
      </c>
      <c r="BU11" s="68"/>
      <c r="BV11" s="68">
        <f t="shared" si="43"/>
        <v>-20.141983445034711</v>
      </c>
      <c r="BW11" s="68">
        <f>'RD T1'!E213</f>
        <v>40.582507512250068</v>
      </c>
      <c r="BX11" s="68">
        <f t="shared" si="44"/>
        <v>20.440524067215357</v>
      </c>
      <c r="BZ11" t="str">
        <f t="shared" si="45"/>
        <v>22 Health professionals</v>
      </c>
      <c r="CA11" s="68">
        <v>48.845297689479651</v>
      </c>
      <c r="CB11" s="68">
        <v>58.177349110364659</v>
      </c>
      <c r="CC11" s="68">
        <v>50.963902604917088</v>
      </c>
      <c r="CD11" s="68">
        <v>49.723841007364456</v>
      </c>
      <c r="CE11" s="68">
        <v>30.716559686149186</v>
      </c>
      <c r="CF11" s="68"/>
      <c r="CG11" s="68">
        <f t="shared" si="46"/>
        <v>-20.247342918767902</v>
      </c>
      <c r="CH11" s="68">
        <f>'RD T1'!E242</f>
        <v>17.944515984889406</v>
      </c>
      <c r="CI11" s="68">
        <f t="shared" si="47"/>
        <v>-2.3028269338784959</v>
      </c>
      <c r="CK11" t="str">
        <f t="shared" si="48"/>
        <v>22 Health professionals</v>
      </c>
      <c r="CL11" s="68">
        <v>6.0791691870468121</v>
      </c>
      <c r="CM11" s="68">
        <v>7.8834999155558139</v>
      </c>
      <c r="CN11" s="68">
        <v>7.9382762251514727</v>
      </c>
      <c r="CO11" s="68">
        <v>10.070001365634392</v>
      </c>
      <c r="CP11" s="68">
        <v>13.675005685331598</v>
      </c>
      <c r="CQ11" s="68"/>
      <c r="CR11" s="68">
        <f t="shared" si="49"/>
        <v>5.7367294601801255</v>
      </c>
      <c r="CS11" s="68">
        <f>'RD T1'!E271</f>
        <v>4.378415247058034</v>
      </c>
      <c r="CT11" s="68">
        <f t="shared" si="50"/>
        <v>10.115144707238159</v>
      </c>
    </row>
    <row r="12" spans="1:98" x14ac:dyDescent="0.3">
      <c r="A12" s="10" t="str">
        <f>name!D8</f>
        <v>23 Teaching and other educational professionals</v>
      </c>
      <c r="B12" s="68">
        <v>111.74849405782905</v>
      </c>
      <c r="C12" s="68">
        <v>130.31602935452403</v>
      </c>
      <c r="D12" s="68">
        <v>134.73145804762945</v>
      </c>
      <c r="E12" s="68">
        <v>156.79481146347786</v>
      </c>
      <c r="F12" s="68">
        <v>191.92819915164634</v>
      </c>
      <c r="G12" s="11"/>
      <c r="H12" s="68">
        <f t="shared" si="51"/>
        <v>57.196741104016894</v>
      </c>
      <c r="I12" s="68">
        <f>'RD T1'!E40</f>
        <v>83.232987402413968</v>
      </c>
      <c r="J12" s="68">
        <f t="shared" si="26"/>
        <v>140.42972850643088</v>
      </c>
      <c r="L12" t="str">
        <f t="shared" si="27"/>
        <v>23 Teaching and other educational professionals</v>
      </c>
      <c r="M12" s="68">
        <v>621.35426823810985</v>
      </c>
      <c r="N12" s="68">
        <v>743.96859909514808</v>
      </c>
      <c r="O12" s="68">
        <v>769.67102208021038</v>
      </c>
      <c r="P12" s="68">
        <v>885.11869784478233</v>
      </c>
      <c r="Q12" s="68">
        <v>1063.5944925809035</v>
      </c>
      <c r="R12" s="11"/>
      <c r="S12" s="68">
        <f t="shared" si="28"/>
        <v>293.92347050069316</v>
      </c>
      <c r="T12" s="68">
        <f>'RD T1'!E69</f>
        <v>487.04723229485535</v>
      </c>
      <c r="U12" s="68">
        <f t="shared" si="29"/>
        <v>780.9707027955485</v>
      </c>
      <c r="W12" t="str">
        <f t="shared" si="30"/>
        <v>23 Teaching and other educational professionals</v>
      </c>
      <c r="X12" s="68">
        <v>419.27615376185361</v>
      </c>
      <c r="Y12" s="68">
        <v>375.99166760156226</v>
      </c>
      <c r="Z12" s="68">
        <v>397.63249691655278</v>
      </c>
      <c r="AA12" s="68">
        <v>336.52946962490427</v>
      </c>
      <c r="AB12" s="68">
        <v>267.68537630321435</v>
      </c>
      <c r="AC12" s="68"/>
      <c r="AD12" s="68">
        <f t="shared" si="31"/>
        <v>-129.94712061333843</v>
      </c>
      <c r="AE12" s="68">
        <f>'RD T1'!E98</f>
        <v>167.17070286500299</v>
      </c>
      <c r="AF12" s="68">
        <f t="shared" si="32"/>
        <v>37.223582251664567</v>
      </c>
      <c r="AH12" t="str">
        <f t="shared" si="33"/>
        <v>23 Teaching and other educational professionals</v>
      </c>
      <c r="AI12" s="68">
        <v>57.559882681567714</v>
      </c>
      <c r="AJ12" s="68">
        <v>33.967700447012682</v>
      </c>
      <c r="AK12" s="68">
        <v>31.848054801816456</v>
      </c>
      <c r="AL12" s="68">
        <v>22.017927355134454</v>
      </c>
      <c r="AM12" s="68">
        <v>22.048853689610347</v>
      </c>
      <c r="AN12" s="68"/>
      <c r="AO12" s="68">
        <f t="shared" si="34"/>
        <v>-9.7992011122061093</v>
      </c>
      <c r="AP12" s="68">
        <f>'RD T1'!E127</f>
        <v>7.1892588213303705</v>
      </c>
      <c r="AQ12" s="68">
        <f t="shared" si="35"/>
        <v>-2.6099422908757388</v>
      </c>
      <c r="AS12" t="str">
        <f t="shared" si="36"/>
        <v>23 Teaching and other educational professionals</v>
      </c>
      <c r="AT12" s="68">
        <v>16.234252795736619</v>
      </c>
      <c r="AU12" s="68">
        <v>16.25644499093125</v>
      </c>
      <c r="AV12" s="68">
        <v>17.327255102901187</v>
      </c>
      <c r="AW12" s="68">
        <v>15.209643201281168</v>
      </c>
      <c r="AX12" s="68">
        <v>13.931305549497363</v>
      </c>
      <c r="AY12" s="68"/>
      <c r="AZ12" s="68">
        <f t="shared" si="37"/>
        <v>-3.395949553403824</v>
      </c>
      <c r="BA12" s="68">
        <f>'RD T1'!E156</f>
        <v>7.5902492136602948</v>
      </c>
      <c r="BB12" s="68">
        <f t="shared" si="38"/>
        <v>4.1942996602564708</v>
      </c>
      <c r="BD12" t="str">
        <f t="shared" si="39"/>
        <v>23 Teaching and other educational professionals</v>
      </c>
      <c r="BE12" s="68">
        <v>55.334410635134319</v>
      </c>
      <c r="BF12" s="68">
        <v>57.103814237687452</v>
      </c>
      <c r="BG12" s="68">
        <v>63.69046408702404</v>
      </c>
      <c r="BH12" s="68">
        <v>63.792371458927306</v>
      </c>
      <c r="BI12" s="68">
        <v>69.97045604203754</v>
      </c>
      <c r="BJ12" s="68"/>
      <c r="BK12" s="68">
        <f t="shared" si="40"/>
        <v>6.2799919550135002</v>
      </c>
      <c r="BL12" s="68">
        <f>'RD T1'!E185</f>
        <v>27.691450425851563</v>
      </c>
      <c r="BM12" s="68">
        <f t="shared" si="41"/>
        <v>33.971442380865064</v>
      </c>
      <c r="BO12" t="str">
        <f t="shared" si="42"/>
        <v>23 Teaching and other educational professionals</v>
      </c>
      <c r="BP12" s="68">
        <v>43.396966978833326</v>
      </c>
      <c r="BQ12" s="68">
        <v>44.722170631970286</v>
      </c>
      <c r="BR12" s="68">
        <v>44.840941725152462</v>
      </c>
      <c r="BS12" s="68">
        <v>42.260559379667434</v>
      </c>
      <c r="BT12" s="68">
        <v>36.818793450024415</v>
      </c>
      <c r="BU12" s="68"/>
      <c r="BV12" s="68">
        <f t="shared" si="43"/>
        <v>-8.0221482751280462</v>
      </c>
      <c r="BW12" s="68">
        <f>'RD T1'!E214</f>
        <v>18.765876379184938</v>
      </c>
      <c r="BX12" s="68">
        <f t="shared" si="44"/>
        <v>10.743728104056892</v>
      </c>
      <c r="BZ12" t="str">
        <f t="shared" si="45"/>
        <v>23 Teaching and other educational professionals</v>
      </c>
      <c r="CA12" s="68">
        <v>30.940195086767126</v>
      </c>
      <c r="CB12" s="68">
        <v>32.003387425009258</v>
      </c>
      <c r="CC12" s="68">
        <v>32.902069659164546</v>
      </c>
      <c r="CD12" s="68">
        <v>31.27009152777654</v>
      </c>
      <c r="CE12" s="68">
        <v>25.036374563451044</v>
      </c>
      <c r="CF12" s="68"/>
      <c r="CG12" s="68">
        <f t="shared" si="46"/>
        <v>-7.8656950957135017</v>
      </c>
      <c r="CH12" s="68">
        <f>'RD T1'!E243</f>
        <v>12.353576713568321</v>
      </c>
      <c r="CI12" s="68">
        <f t="shared" si="47"/>
        <v>4.4878816178548195</v>
      </c>
      <c r="CK12" t="str">
        <f t="shared" si="48"/>
        <v>23 Teaching and other educational professionals</v>
      </c>
      <c r="CL12" s="68">
        <v>5.9045609233032836</v>
      </c>
      <c r="CM12" s="68">
        <v>6.909218734854222</v>
      </c>
      <c r="CN12" s="68">
        <v>7.8609849226766393</v>
      </c>
      <c r="CO12" s="68">
        <v>8.7791825411215321</v>
      </c>
      <c r="CP12" s="68">
        <v>8.3258341424676381</v>
      </c>
      <c r="CQ12" s="68"/>
      <c r="CR12" s="68">
        <f t="shared" si="49"/>
        <v>0.4648492197909988</v>
      </c>
      <c r="CS12" s="68">
        <f>'RD T1'!E272</f>
        <v>3.3081873671070361</v>
      </c>
      <c r="CT12" s="68">
        <f t="shared" si="50"/>
        <v>3.7730365868980349</v>
      </c>
    </row>
    <row r="13" spans="1:98" x14ac:dyDescent="0.3">
      <c r="A13" s="10" t="str">
        <f>name!D9</f>
        <v>24 Business, media and public service professionals</v>
      </c>
      <c r="B13" s="68">
        <v>32.035187270554836</v>
      </c>
      <c r="C13" s="68">
        <v>44.338424684643144</v>
      </c>
      <c r="D13" s="68">
        <v>47.713705884142676</v>
      </c>
      <c r="E13" s="68">
        <v>68.520703067620715</v>
      </c>
      <c r="F13" s="68">
        <v>102.38522759382525</v>
      </c>
      <c r="G13" s="11"/>
      <c r="H13" s="68">
        <f t="shared" si="51"/>
        <v>54.671521709682573</v>
      </c>
      <c r="I13" s="68">
        <f>'RD T1'!E41</f>
        <v>37.875058189937967</v>
      </c>
      <c r="J13" s="68">
        <f t="shared" si="26"/>
        <v>92.546579899620539</v>
      </c>
      <c r="L13" t="str">
        <f t="shared" si="27"/>
        <v>24 Business, media and public service professionals</v>
      </c>
      <c r="M13" s="68">
        <v>400.42282557363473</v>
      </c>
      <c r="N13" s="68">
        <v>555.35483610815163</v>
      </c>
      <c r="O13" s="68">
        <v>593.76125530162585</v>
      </c>
      <c r="P13" s="68">
        <v>795.28666318135708</v>
      </c>
      <c r="Q13" s="68">
        <v>1097.5082275934724</v>
      </c>
      <c r="R13" s="11"/>
      <c r="S13" s="68">
        <f t="shared" si="28"/>
        <v>503.74697229184653</v>
      </c>
      <c r="T13" s="68">
        <f>'RD T1'!E70</f>
        <v>429.72680926555125</v>
      </c>
      <c r="U13" s="68">
        <f t="shared" si="29"/>
        <v>933.47378155739784</v>
      </c>
      <c r="W13" t="str">
        <f t="shared" si="30"/>
        <v>24 Business, media and public service professionals</v>
      </c>
      <c r="X13" s="68">
        <v>703.80527169444417</v>
      </c>
      <c r="Y13" s="68">
        <v>796.73336707210171</v>
      </c>
      <c r="Z13" s="68">
        <v>864.5207406296056</v>
      </c>
      <c r="AA13" s="68">
        <v>924.01780029117026</v>
      </c>
      <c r="AB13" s="68">
        <v>947.98858974285997</v>
      </c>
      <c r="AC13" s="68"/>
      <c r="AD13" s="68">
        <f t="shared" si="31"/>
        <v>83.467849113254374</v>
      </c>
      <c r="AE13" s="68">
        <f>'RD T1'!E99</f>
        <v>480.29622234371652</v>
      </c>
      <c r="AF13" s="68">
        <f t="shared" si="32"/>
        <v>563.7640714569709</v>
      </c>
      <c r="AH13" t="str">
        <f t="shared" si="33"/>
        <v>24 Business, media and public service professionals</v>
      </c>
      <c r="AI13" s="68">
        <v>69.909451855754241</v>
      </c>
      <c r="AJ13" s="68">
        <v>68.030083335891931</v>
      </c>
      <c r="AK13" s="68">
        <v>76.609961718378628</v>
      </c>
      <c r="AL13" s="68">
        <v>73.995161773885826</v>
      </c>
      <c r="AM13" s="68">
        <v>76.400466935021029</v>
      </c>
      <c r="AN13" s="68"/>
      <c r="AO13" s="68">
        <f t="shared" si="34"/>
        <v>-0.20949478335759864</v>
      </c>
      <c r="AP13" s="68">
        <f>'RD T1'!E128</f>
        <v>28.81297957294197</v>
      </c>
      <c r="AQ13" s="68">
        <f t="shared" si="35"/>
        <v>28.603484789584371</v>
      </c>
      <c r="AS13" t="str">
        <f t="shared" si="36"/>
        <v>24 Business, media and public service professionals</v>
      </c>
      <c r="AT13" s="68">
        <v>107.24226470487724</v>
      </c>
      <c r="AU13" s="68">
        <v>118.91400866278846</v>
      </c>
      <c r="AV13" s="68">
        <v>132.1897102303563</v>
      </c>
      <c r="AW13" s="68">
        <v>140.98895956779316</v>
      </c>
      <c r="AX13" s="68">
        <v>150.40808432521359</v>
      </c>
      <c r="AY13" s="68"/>
      <c r="AZ13" s="68">
        <f t="shared" si="37"/>
        <v>18.218374094857296</v>
      </c>
      <c r="BA13" s="68">
        <f>'RD T1'!E157</f>
        <v>70.498382731299728</v>
      </c>
      <c r="BB13" s="68">
        <f t="shared" si="38"/>
        <v>88.716756826157024</v>
      </c>
      <c r="BD13" t="str">
        <f t="shared" si="39"/>
        <v>24 Business, media and public service professionals</v>
      </c>
      <c r="BE13" s="68">
        <v>211.66835953212063</v>
      </c>
      <c r="BF13" s="68">
        <v>240.95051970047112</v>
      </c>
      <c r="BG13" s="68">
        <v>266.96201664256239</v>
      </c>
      <c r="BH13" s="68">
        <v>275.69599329584435</v>
      </c>
      <c r="BI13" s="68">
        <v>280.58602392341629</v>
      </c>
      <c r="BJ13" s="68"/>
      <c r="BK13" s="68">
        <f t="shared" si="40"/>
        <v>13.624007280853903</v>
      </c>
      <c r="BL13" s="68">
        <f>'RD T1'!E186</f>
        <v>112.94124526590591</v>
      </c>
      <c r="BM13" s="68">
        <f t="shared" si="41"/>
        <v>126.56525254675981</v>
      </c>
      <c r="BO13" t="str">
        <f t="shared" si="42"/>
        <v>24 Business, media and public service professionals</v>
      </c>
      <c r="BP13" s="68">
        <v>154.23130354578419</v>
      </c>
      <c r="BQ13" s="68">
        <v>168.55646425203707</v>
      </c>
      <c r="BR13" s="68">
        <v>172.51968025528387</v>
      </c>
      <c r="BS13" s="68">
        <v>165.87619533917007</v>
      </c>
      <c r="BT13" s="68">
        <v>133.37511132136501</v>
      </c>
      <c r="BU13" s="68"/>
      <c r="BV13" s="68">
        <f t="shared" si="43"/>
        <v>-39.144568933918862</v>
      </c>
      <c r="BW13" s="68">
        <f>'RD T1'!E215</f>
        <v>62.347589065304916</v>
      </c>
      <c r="BX13" s="68">
        <f t="shared" si="44"/>
        <v>23.203020131386054</v>
      </c>
      <c r="BZ13" t="str">
        <f t="shared" si="45"/>
        <v>24 Business, media and public service professionals</v>
      </c>
      <c r="CA13" s="68">
        <v>95.792439828770924</v>
      </c>
      <c r="CB13" s="68">
        <v>106.75601414245503</v>
      </c>
      <c r="CC13" s="68">
        <v>109.66465696706948</v>
      </c>
      <c r="CD13" s="68">
        <v>104.09765894523596</v>
      </c>
      <c r="CE13" s="68">
        <v>67.864053151602775</v>
      </c>
      <c r="CF13" s="68"/>
      <c r="CG13" s="68">
        <f t="shared" si="46"/>
        <v>-41.800603815466701</v>
      </c>
      <c r="CH13" s="68">
        <f>'RD T1'!E244</f>
        <v>34.347162252371675</v>
      </c>
      <c r="CI13" s="68">
        <f t="shared" si="47"/>
        <v>-7.4534415630950264</v>
      </c>
      <c r="CK13" t="str">
        <f t="shared" si="48"/>
        <v>24 Business, media and public service professionals</v>
      </c>
      <c r="CL13" s="68">
        <v>21.864775539726793</v>
      </c>
      <c r="CM13" s="68">
        <v>26.375826595773287</v>
      </c>
      <c r="CN13" s="68">
        <v>25.725769443741019</v>
      </c>
      <c r="CO13" s="68">
        <v>26.98744764711692</v>
      </c>
      <c r="CP13" s="68">
        <v>26.960890051953786</v>
      </c>
      <c r="CQ13" s="68"/>
      <c r="CR13" s="68">
        <f t="shared" si="49"/>
        <v>1.2351206082127675</v>
      </c>
      <c r="CS13" s="68">
        <f>'RD T1'!E273</f>
        <v>9.2503592058478148</v>
      </c>
      <c r="CT13" s="68">
        <f t="shared" si="50"/>
        <v>10.485479814060582</v>
      </c>
    </row>
    <row r="14" spans="1:98" x14ac:dyDescent="0.3">
      <c r="A14" s="10" t="str">
        <f>name!D10</f>
        <v>31 Science, engineering and technology associate professionals</v>
      </c>
      <c r="B14" s="68">
        <v>8.6348573376753173</v>
      </c>
      <c r="C14" s="68">
        <v>12.451300001063849</v>
      </c>
      <c r="D14" s="68">
        <v>13.499960752377961</v>
      </c>
      <c r="E14" s="68">
        <v>16.080314678848012</v>
      </c>
      <c r="F14" s="68">
        <v>24.680433766620819</v>
      </c>
      <c r="G14" s="11"/>
      <c r="H14" s="68">
        <f t="shared" si="51"/>
        <v>11.180473014242859</v>
      </c>
      <c r="I14" s="68">
        <f>'RD T1'!E42</f>
        <v>8.7303671172279973</v>
      </c>
      <c r="J14" s="68">
        <f t="shared" si="26"/>
        <v>19.910840131470856</v>
      </c>
      <c r="L14" t="str">
        <f t="shared" si="27"/>
        <v>31 Science, engineering and technology associate professionals</v>
      </c>
      <c r="M14" s="68">
        <v>50.505299879355782</v>
      </c>
      <c r="N14" s="68">
        <v>69.646841649429589</v>
      </c>
      <c r="O14" s="68">
        <v>76.24205195722206</v>
      </c>
      <c r="P14" s="68">
        <v>83.244002931990551</v>
      </c>
      <c r="Q14" s="68">
        <v>115.34411080645202</v>
      </c>
      <c r="R14" s="11"/>
      <c r="S14" s="68">
        <f t="shared" si="28"/>
        <v>39.102058849229962</v>
      </c>
      <c r="T14" s="68">
        <f>'RD T1'!E71</f>
        <v>40.83073852063152</v>
      </c>
      <c r="U14" s="68">
        <f t="shared" si="29"/>
        <v>79.932797369861476</v>
      </c>
      <c r="W14" t="str">
        <f t="shared" si="30"/>
        <v>31 Science, engineering and technology associate professionals</v>
      </c>
      <c r="X14" s="68">
        <v>124.25261093417862</v>
      </c>
      <c r="Y14" s="68">
        <v>148.98150982139072</v>
      </c>
      <c r="Z14" s="68">
        <v>160.4121955974224</v>
      </c>
      <c r="AA14" s="68">
        <v>146.73092101680328</v>
      </c>
      <c r="AB14" s="68">
        <v>160.0292740167387</v>
      </c>
      <c r="AC14" s="68"/>
      <c r="AD14" s="68">
        <f t="shared" si="31"/>
        <v>-0.38292158068369986</v>
      </c>
      <c r="AE14" s="68">
        <f>'RD T1'!E100</f>
        <v>68.791194397957355</v>
      </c>
      <c r="AF14" s="68">
        <f t="shared" si="32"/>
        <v>68.408272817273655</v>
      </c>
      <c r="AH14" t="str">
        <f t="shared" si="33"/>
        <v>31 Science, engineering and technology associate professionals</v>
      </c>
      <c r="AI14" s="68">
        <v>20.418450995317059</v>
      </c>
      <c r="AJ14" s="68">
        <v>25.076703580674426</v>
      </c>
      <c r="AK14" s="68">
        <v>28.156372729838637</v>
      </c>
      <c r="AL14" s="68">
        <v>28.628559294697883</v>
      </c>
      <c r="AM14" s="68">
        <v>36.955274902737401</v>
      </c>
      <c r="AN14" s="68"/>
      <c r="AO14" s="68">
        <f t="shared" si="34"/>
        <v>8.7989021728987638</v>
      </c>
      <c r="AP14" s="68">
        <f>'RD T1'!E129</f>
        <v>14.884579864416796</v>
      </c>
      <c r="AQ14" s="68">
        <f t="shared" si="35"/>
        <v>23.68348203731556</v>
      </c>
      <c r="AS14" t="str">
        <f t="shared" si="36"/>
        <v>31 Science, engineering and technology associate professionals</v>
      </c>
      <c r="AT14" s="68">
        <v>53.667372403140554</v>
      </c>
      <c r="AU14" s="68">
        <v>58.184099475399492</v>
      </c>
      <c r="AV14" s="68">
        <v>62.173110288973533</v>
      </c>
      <c r="AW14" s="68">
        <v>51.364239197301245</v>
      </c>
      <c r="AX14" s="68">
        <v>50.648536688177089</v>
      </c>
      <c r="AY14" s="68"/>
      <c r="AZ14" s="68">
        <f t="shared" si="37"/>
        <v>-11.524573600796444</v>
      </c>
      <c r="BA14" s="68">
        <f>'RD T1'!E158</f>
        <v>20.25138044537389</v>
      </c>
      <c r="BB14" s="68">
        <f t="shared" si="38"/>
        <v>8.726806844577446</v>
      </c>
      <c r="BD14" t="str">
        <f t="shared" si="39"/>
        <v>31 Science, engineering and technology associate professionals</v>
      </c>
      <c r="BE14" s="68">
        <v>84.374919950256555</v>
      </c>
      <c r="BF14" s="68">
        <v>89.623605926819508</v>
      </c>
      <c r="BG14" s="68">
        <v>100.12120484020514</v>
      </c>
      <c r="BH14" s="68">
        <v>73.327211410172325</v>
      </c>
      <c r="BI14" s="68">
        <v>60.023251253686844</v>
      </c>
      <c r="BJ14" s="68"/>
      <c r="BK14" s="68">
        <f t="shared" si="40"/>
        <v>-40.097953586518294</v>
      </c>
      <c r="BL14" s="68">
        <f>'RD T1'!E187</f>
        <v>24.812417982347757</v>
      </c>
      <c r="BM14" s="68">
        <f t="shared" si="41"/>
        <v>-15.285535604170537</v>
      </c>
      <c r="BO14" t="str">
        <f t="shared" si="42"/>
        <v>31 Science, engineering and technology associate professionals</v>
      </c>
      <c r="BP14" s="68">
        <v>62.794444979434658</v>
      </c>
      <c r="BQ14" s="68">
        <v>71.554177811626388</v>
      </c>
      <c r="BR14" s="68">
        <v>75.604464599403741</v>
      </c>
      <c r="BS14" s="68">
        <v>60.714736833449599</v>
      </c>
      <c r="BT14" s="68">
        <v>55.011973268486216</v>
      </c>
      <c r="BU14" s="68"/>
      <c r="BV14" s="68">
        <f t="shared" si="43"/>
        <v>-20.592491330917525</v>
      </c>
      <c r="BW14" s="68">
        <f>'RD T1'!E216</f>
        <v>22.498242830039601</v>
      </c>
      <c r="BX14" s="68">
        <f t="shared" si="44"/>
        <v>1.9057514991220756</v>
      </c>
      <c r="BZ14" t="str">
        <f t="shared" si="45"/>
        <v>31 Science, engineering and technology associate professionals</v>
      </c>
      <c r="CA14" s="68">
        <v>49.12237650309919</v>
      </c>
      <c r="CB14" s="68">
        <v>57.669725046990209</v>
      </c>
      <c r="CC14" s="68">
        <v>61.522881198585289</v>
      </c>
      <c r="CD14" s="68">
        <v>49.487033245287321</v>
      </c>
      <c r="CE14" s="68">
        <v>39.18314871658535</v>
      </c>
      <c r="CF14" s="68"/>
      <c r="CG14" s="68">
        <f t="shared" si="46"/>
        <v>-22.339732481999938</v>
      </c>
      <c r="CH14" s="68">
        <f>'RD T1'!E245</f>
        <v>16.265428708806436</v>
      </c>
      <c r="CI14" s="68">
        <f t="shared" si="47"/>
        <v>-6.0743037731935026</v>
      </c>
      <c r="CK14" t="str">
        <f t="shared" si="48"/>
        <v>31 Science, engineering and technology associate professionals</v>
      </c>
      <c r="CL14" s="68">
        <v>9.5124097291969569</v>
      </c>
      <c r="CM14" s="68">
        <v>12.638643136378214</v>
      </c>
      <c r="CN14" s="68">
        <v>13.981848663581189</v>
      </c>
      <c r="CO14" s="68">
        <v>14.739537496733929</v>
      </c>
      <c r="CP14" s="68">
        <v>19.528876169776737</v>
      </c>
      <c r="CQ14" s="68"/>
      <c r="CR14" s="68">
        <f t="shared" si="49"/>
        <v>5.5470275061955476</v>
      </c>
      <c r="CS14" s="68">
        <f>'RD T1'!E274</f>
        <v>6.0343949277394477</v>
      </c>
      <c r="CT14" s="68">
        <f t="shared" si="50"/>
        <v>11.581422433934996</v>
      </c>
    </row>
    <row r="15" spans="1:98" x14ac:dyDescent="0.3">
      <c r="A15" s="10" t="str">
        <f>name!D11</f>
        <v>32 Health and social care associate professionals</v>
      </c>
      <c r="B15" s="68">
        <v>2.1424124865945982</v>
      </c>
      <c r="C15" s="68">
        <v>3.0045085475117688</v>
      </c>
      <c r="D15" s="68">
        <v>2.7984348873661182</v>
      </c>
      <c r="E15" s="68">
        <v>3.9129183354579982</v>
      </c>
      <c r="F15" s="68">
        <v>6.3928440140012883</v>
      </c>
      <c r="G15" s="11"/>
      <c r="H15" s="68">
        <f t="shared" si="51"/>
        <v>3.5944091266351701</v>
      </c>
      <c r="I15" s="68">
        <f>'RD T1'!E43</f>
        <v>2.7630460669343146</v>
      </c>
      <c r="J15" s="68">
        <f t="shared" si="26"/>
        <v>6.3574551935694847</v>
      </c>
      <c r="L15" t="str">
        <f t="shared" si="27"/>
        <v>32 Health and social care associate professionals</v>
      </c>
      <c r="M15" s="68">
        <v>47.85824162558702</v>
      </c>
      <c r="N15" s="68">
        <v>66.956817116706745</v>
      </c>
      <c r="O15" s="68">
        <v>69.253161753372694</v>
      </c>
      <c r="P15" s="68">
        <v>89.325750000977962</v>
      </c>
      <c r="Q15" s="68">
        <v>136.48337004128283</v>
      </c>
      <c r="R15" s="11"/>
      <c r="S15" s="68">
        <f t="shared" si="28"/>
        <v>67.230208287910131</v>
      </c>
      <c r="T15" s="68">
        <f>'RD T1'!E72</f>
        <v>59.402836782396946</v>
      </c>
      <c r="U15" s="68">
        <f t="shared" si="29"/>
        <v>126.63304507030708</v>
      </c>
      <c r="W15" t="str">
        <f t="shared" si="30"/>
        <v>32 Health and social care associate professionals</v>
      </c>
      <c r="X15" s="68">
        <v>143.31712378173742</v>
      </c>
      <c r="Y15" s="68">
        <v>168.91969572257509</v>
      </c>
      <c r="Z15" s="68">
        <v>177.16964140077187</v>
      </c>
      <c r="AA15" s="68">
        <v>194.07858782487463</v>
      </c>
      <c r="AB15" s="68">
        <v>228.92452343904515</v>
      </c>
      <c r="AC15" s="68"/>
      <c r="AD15" s="68">
        <f t="shared" si="31"/>
        <v>51.75488203827328</v>
      </c>
      <c r="AE15" s="68">
        <f>'RD T1'!E101</f>
        <v>129.80345407918244</v>
      </c>
      <c r="AF15" s="68">
        <f t="shared" si="32"/>
        <v>181.55833611745572</v>
      </c>
      <c r="AH15" t="str">
        <f t="shared" si="33"/>
        <v>32 Health and social care associate professionals</v>
      </c>
      <c r="AI15" s="68">
        <v>100.68924323457577</v>
      </c>
      <c r="AJ15" s="68">
        <v>87.758270008200796</v>
      </c>
      <c r="AK15" s="68">
        <v>87.260096966449254</v>
      </c>
      <c r="AL15" s="68">
        <v>64.479844771166782</v>
      </c>
      <c r="AM15" s="68">
        <v>38.073691349573359</v>
      </c>
      <c r="AN15" s="68"/>
      <c r="AO15" s="68">
        <f t="shared" si="34"/>
        <v>-49.186405616875895</v>
      </c>
      <c r="AP15" s="68">
        <f>'RD T1'!E130</f>
        <v>25.49433344208045</v>
      </c>
      <c r="AQ15" s="68">
        <f t="shared" si="35"/>
        <v>-23.692072174795445</v>
      </c>
      <c r="AS15" t="str">
        <f t="shared" si="36"/>
        <v>32 Health and social care associate professionals</v>
      </c>
      <c r="AT15" s="68">
        <v>21.719666319342032</v>
      </c>
      <c r="AU15" s="68">
        <v>24.656265822153788</v>
      </c>
      <c r="AV15" s="68">
        <v>27.954405322607638</v>
      </c>
      <c r="AW15" s="68">
        <v>26.793583490340303</v>
      </c>
      <c r="AX15" s="68">
        <v>29.310149428066154</v>
      </c>
      <c r="AY15" s="68"/>
      <c r="AZ15" s="68">
        <f t="shared" si="37"/>
        <v>1.3557441054585162</v>
      </c>
      <c r="BA15" s="68">
        <f>'RD T1'!E159</f>
        <v>16.047551806403622</v>
      </c>
      <c r="BB15" s="68">
        <f t="shared" si="38"/>
        <v>17.403295911862138</v>
      </c>
      <c r="BD15" t="str">
        <f t="shared" si="39"/>
        <v>32 Health and social care associate professionals</v>
      </c>
      <c r="BE15" s="68">
        <v>80.085427623306202</v>
      </c>
      <c r="BF15" s="68">
        <v>98.827695222657326</v>
      </c>
      <c r="BG15" s="68">
        <v>103.95997064809954</v>
      </c>
      <c r="BH15" s="68">
        <v>106.5206578703697</v>
      </c>
      <c r="BI15" s="68">
        <v>120.24288205290928</v>
      </c>
      <c r="BJ15" s="68"/>
      <c r="BK15" s="68">
        <f t="shared" si="40"/>
        <v>16.282911404809738</v>
      </c>
      <c r="BL15" s="68">
        <f>'RD T1'!E188</f>
        <v>63.595417030092925</v>
      </c>
      <c r="BM15" s="68">
        <f t="shared" si="41"/>
        <v>79.87832843490267</v>
      </c>
      <c r="BO15" t="str">
        <f t="shared" si="42"/>
        <v>32 Health and social care associate professionals</v>
      </c>
      <c r="BP15" s="68">
        <v>65.832164063194753</v>
      </c>
      <c r="BQ15" s="68">
        <v>75.023853683536146</v>
      </c>
      <c r="BR15" s="68">
        <v>72.369704727264903</v>
      </c>
      <c r="BS15" s="68">
        <v>67.18393371783641</v>
      </c>
      <c r="BT15" s="68">
        <v>53.661361418668299</v>
      </c>
      <c r="BU15" s="68"/>
      <c r="BV15" s="68">
        <f t="shared" si="43"/>
        <v>-18.708343308596604</v>
      </c>
      <c r="BW15" s="68">
        <f>'RD T1'!E217</f>
        <v>32.729719792084552</v>
      </c>
      <c r="BX15" s="68">
        <f t="shared" si="44"/>
        <v>14.021376483487948</v>
      </c>
      <c r="BZ15" t="str">
        <f t="shared" si="45"/>
        <v>32 Health and social care associate professionals</v>
      </c>
      <c r="CA15" s="68">
        <v>27.443859174872475</v>
      </c>
      <c r="CB15" s="68">
        <v>26.307883071448487</v>
      </c>
      <c r="CC15" s="68">
        <v>23.660715270075642</v>
      </c>
      <c r="CD15" s="68">
        <v>20.14236758812056</v>
      </c>
      <c r="CE15" s="68">
        <v>12.620454818712487</v>
      </c>
      <c r="CF15" s="68"/>
      <c r="CG15" s="68">
        <f t="shared" si="46"/>
        <v>-11.040260451363155</v>
      </c>
      <c r="CH15" s="68">
        <f>'RD T1'!E246</f>
        <v>7.5457242068899575</v>
      </c>
      <c r="CI15" s="68">
        <f t="shared" si="47"/>
        <v>-3.4945362444731973</v>
      </c>
      <c r="CK15" t="str">
        <f t="shared" si="48"/>
        <v>32 Health and social care associate professionals</v>
      </c>
      <c r="CL15" s="68">
        <v>3.9138815724498386</v>
      </c>
      <c r="CM15" s="68">
        <v>4.3689090628884895</v>
      </c>
      <c r="CN15" s="68">
        <v>4.3372665579626002</v>
      </c>
      <c r="CO15" s="68">
        <v>4.788719914128734</v>
      </c>
      <c r="CP15" s="68">
        <v>6.3148770194129282</v>
      </c>
      <c r="CQ15" s="68"/>
      <c r="CR15" s="68">
        <f t="shared" si="49"/>
        <v>1.977610461450328</v>
      </c>
      <c r="CS15" s="68">
        <f>'RD T1'!E275</f>
        <v>2.1257451280331914</v>
      </c>
      <c r="CT15" s="68">
        <f t="shared" si="50"/>
        <v>4.1033555894835194</v>
      </c>
    </row>
    <row r="16" spans="1:98" x14ac:dyDescent="0.3">
      <c r="A16" s="10" t="str">
        <f>name!D12</f>
        <v>33 Protective service occupations</v>
      </c>
      <c r="B16" s="68">
        <v>1.0551064599466993</v>
      </c>
      <c r="C16" s="68">
        <v>1.2472428576210379</v>
      </c>
      <c r="D16" s="68">
        <v>1.3190325601603494</v>
      </c>
      <c r="E16" s="68">
        <v>2.190847824003419</v>
      </c>
      <c r="F16" s="68">
        <v>3.7375492221375914</v>
      </c>
      <c r="G16" s="11"/>
      <c r="H16" s="68">
        <f t="shared" si="51"/>
        <v>2.4185166619772422</v>
      </c>
      <c r="I16" s="68">
        <f>'RD T1'!E44</f>
        <v>0.92813425508777936</v>
      </c>
      <c r="J16" s="68">
        <f t="shared" si="26"/>
        <v>3.3466509170650216</v>
      </c>
      <c r="L16" t="str">
        <f t="shared" si="27"/>
        <v>33 Protective service occupations</v>
      </c>
      <c r="M16" s="68">
        <v>16.542782666141324</v>
      </c>
      <c r="N16" s="68">
        <v>20.802170923820871</v>
      </c>
      <c r="O16" s="68">
        <v>22.987488199911088</v>
      </c>
      <c r="P16" s="68">
        <v>36.924072244435855</v>
      </c>
      <c r="Q16" s="68">
        <v>64.225994641225384</v>
      </c>
      <c r="R16" s="11"/>
      <c r="S16" s="68">
        <f t="shared" si="28"/>
        <v>41.2385064413143</v>
      </c>
      <c r="T16" s="68">
        <f>'RD T1'!E73</f>
        <v>14.66652571991874</v>
      </c>
      <c r="U16" s="68">
        <f t="shared" si="29"/>
        <v>55.905032161233038</v>
      </c>
      <c r="W16" t="str">
        <f t="shared" si="30"/>
        <v>33 Protective service occupations</v>
      </c>
      <c r="X16" s="68">
        <v>68.5332320693052</v>
      </c>
      <c r="Y16" s="68">
        <v>76.836252430304185</v>
      </c>
      <c r="Z16" s="68">
        <v>86.310332353774967</v>
      </c>
      <c r="AA16" s="68">
        <v>112.67871175075163</v>
      </c>
      <c r="AB16" s="68">
        <v>154.64843553666663</v>
      </c>
      <c r="AC16" s="68"/>
      <c r="AD16" s="68">
        <f t="shared" si="31"/>
        <v>68.338103182891658</v>
      </c>
      <c r="AE16" s="68">
        <f>'RD T1'!E102</f>
        <v>52.255786129604893</v>
      </c>
      <c r="AF16" s="68">
        <f t="shared" si="32"/>
        <v>120.59388931249654</v>
      </c>
      <c r="AH16" t="str">
        <f t="shared" si="33"/>
        <v>33 Protective service occupations</v>
      </c>
      <c r="AI16" s="68">
        <v>18.769714738273994</v>
      </c>
      <c r="AJ16" s="68">
        <v>20.442347398535809</v>
      </c>
      <c r="AK16" s="68">
        <v>23.235788896197295</v>
      </c>
      <c r="AL16" s="68">
        <v>29.834689788915764</v>
      </c>
      <c r="AM16" s="68">
        <v>40.286988000690037</v>
      </c>
      <c r="AN16" s="68"/>
      <c r="AO16" s="68">
        <f t="shared" si="34"/>
        <v>17.051199104492742</v>
      </c>
      <c r="AP16" s="68">
        <f>'RD T1'!E131</f>
        <v>12.266636857370996</v>
      </c>
      <c r="AQ16" s="68">
        <f t="shared" si="35"/>
        <v>29.317835961863736</v>
      </c>
      <c r="AS16" t="str">
        <f t="shared" si="36"/>
        <v>33 Protective service occupations</v>
      </c>
      <c r="AT16" s="68">
        <v>17.387828736026723</v>
      </c>
      <c r="AU16" s="68">
        <v>16.16424728564343</v>
      </c>
      <c r="AV16" s="68">
        <v>17.695784319038665</v>
      </c>
      <c r="AW16" s="68">
        <v>19.401081849628181</v>
      </c>
      <c r="AX16" s="68">
        <v>21.66001357706574</v>
      </c>
      <c r="AY16" s="68"/>
      <c r="AZ16" s="68">
        <f t="shared" si="37"/>
        <v>3.9642292580270748</v>
      </c>
      <c r="BA16" s="68">
        <f>'RD T1'!E160</f>
        <v>7.3441535861045626</v>
      </c>
      <c r="BB16" s="68">
        <f t="shared" si="38"/>
        <v>11.308382844131637</v>
      </c>
      <c r="BD16" t="str">
        <f t="shared" si="39"/>
        <v>33 Protective service occupations</v>
      </c>
      <c r="BE16" s="68">
        <v>60.427161697384953</v>
      </c>
      <c r="BF16" s="68">
        <v>56.582297483153894</v>
      </c>
      <c r="BG16" s="68">
        <v>60.974063948140085</v>
      </c>
      <c r="BH16" s="68">
        <v>65.91032818584884</v>
      </c>
      <c r="BI16" s="68">
        <v>63.72338195546893</v>
      </c>
      <c r="BJ16" s="68"/>
      <c r="BK16" s="68">
        <f t="shared" si="40"/>
        <v>2.7493180073288457</v>
      </c>
      <c r="BL16" s="68">
        <f>'RD T1'!E189</f>
        <v>16.305024532322179</v>
      </c>
      <c r="BM16" s="68">
        <f t="shared" si="41"/>
        <v>19.054342539651024</v>
      </c>
      <c r="BO16" t="str">
        <f t="shared" si="42"/>
        <v>33 Protective service occupations</v>
      </c>
      <c r="BP16" s="68">
        <v>67.23120667612379</v>
      </c>
      <c r="BQ16" s="68">
        <v>67.982902611430745</v>
      </c>
      <c r="BR16" s="68">
        <v>66.609898831120475</v>
      </c>
      <c r="BS16" s="68">
        <v>71.861344398383622</v>
      </c>
      <c r="BT16" s="68">
        <v>57.92538470632563</v>
      </c>
      <c r="BU16" s="68"/>
      <c r="BV16" s="68">
        <f t="shared" si="43"/>
        <v>-8.6845141247948447</v>
      </c>
      <c r="BW16" s="68">
        <f>'RD T1'!E218</f>
        <v>19.25712509497707</v>
      </c>
      <c r="BX16" s="68">
        <f t="shared" si="44"/>
        <v>10.572610970182225</v>
      </c>
      <c r="BZ16" t="str">
        <f t="shared" si="45"/>
        <v>33 Protective service occupations</v>
      </c>
      <c r="CA16" s="68">
        <v>38.125615817206715</v>
      </c>
      <c r="CB16" s="68">
        <v>37.362391354204462</v>
      </c>
      <c r="CC16" s="68">
        <v>37.51388092777205</v>
      </c>
      <c r="CD16" s="68">
        <v>40.812006616978472</v>
      </c>
      <c r="CE16" s="68">
        <v>32.309421079985896</v>
      </c>
      <c r="CF16" s="68"/>
      <c r="CG16" s="68">
        <f t="shared" si="46"/>
        <v>-5.2044598477861541</v>
      </c>
      <c r="CH16" s="68">
        <f>'RD T1'!E247</f>
        <v>12.943530118815913</v>
      </c>
      <c r="CI16" s="68">
        <f t="shared" si="47"/>
        <v>7.7390702710297585</v>
      </c>
      <c r="CK16" t="str">
        <f t="shared" si="48"/>
        <v>33 Protective service occupations</v>
      </c>
      <c r="CL16" s="68">
        <v>6.4607333857187621</v>
      </c>
      <c r="CM16" s="68">
        <v>5.4179271216089901</v>
      </c>
      <c r="CN16" s="68">
        <v>5.0484682257796267</v>
      </c>
      <c r="CO16" s="68">
        <v>4.1869438524164426</v>
      </c>
      <c r="CP16" s="68">
        <v>3.6295564094389037</v>
      </c>
      <c r="CQ16" s="68"/>
      <c r="CR16" s="68">
        <f t="shared" si="49"/>
        <v>-1.4189118163407231</v>
      </c>
      <c r="CS16" s="68">
        <f>'RD T1'!E276</f>
        <v>0.90572672617177963</v>
      </c>
      <c r="CT16" s="68">
        <f t="shared" si="50"/>
        <v>-0.51318509016894343</v>
      </c>
    </row>
    <row r="17" spans="1:98" x14ac:dyDescent="0.3">
      <c r="A17" s="10" t="str">
        <f>name!D13</f>
        <v>34 Culture, media and sports occupations</v>
      </c>
      <c r="B17" s="68">
        <v>5.8796468455785549</v>
      </c>
      <c r="C17" s="68">
        <v>8.1326461293282879</v>
      </c>
      <c r="D17" s="68">
        <v>8.6003718913058691</v>
      </c>
      <c r="E17" s="68">
        <v>10.399549823669076</v>
      </c>
      <c r="F17" s="68">
        <v>14.603834046997294</v>
      </c>
      <c r="G17" s="11"/>
      <c r="H17" s="68">
        <f t="shared" si="51"/>
        <v>6.0034621556914249</v>
      </c>
      <c r="I17" s="68">
        <f>'RD T1'!E45</f>
        <v>6.2087578898738878</v>
      </c>
      <c r="J17" s="68">
        <f t="shared" si="26"/>
        <v>12.212220045565314</v>
      </c>
      <c r="L17" t="str">
        <f t="shared" si="27"/>
        <v>34 Culture, media and sports occupations</v>
      </c>
      <c r="M17" s="68">
        <v>109.73979781996054</v>
      </c>
      <c r="N17" s="68">
        <v>130.66059263462904</v>
      </c>
      <c r="O17" s="68">
        <v>153.70788309073714</v>
      </c>
      <c r="P17" s="68">
        <v>189.70225274870464</v>
      </c>
      <c r="Q17" s="68">
        <v>269.19172529586092</v>
      </c>
      <c r="R17" s="11"/>
      <c r="S17" s="68">
        <f t="shared" si="28"/>
        <v>115.48384220512378</v>
      </c>
      <c r="T17" s="68">
        <f>'RD T1'!E74</f>
        <v>107.37996652103106</v>
      </c>
      <c r="U17" s="68">
        <f t="shared" si="29"/>
        <v>222.86380872615484</v>
      </c>
      <c r="W17" t="str">
        <f t="shared" si="30"/>
        <v>34 Culture, media and sports occupations</v>
      </c>
      <c r="X17" s="68">
        <v>247.03964223706762</v>
      </c>
      <c r="Y17" s="68">
        <v>241.28402948012391</v>
      </c>
      <c r="Z17" s="68">
        <v>262.49689577770812</v>
      </c>
      <c r="AA17" s="68">
        <v>254.52229678185878</v>
      </c>
      <c r="AB17" s="68">
        <v>263.22758675558998</v>
      </c>
      <c r="AC17" s="68"/>
      <c r="AD17" s="68">
        <f t="shared" si="31"/>
        <v>0.73069097788186355</v>
      </c>
      <c r="AE17" s="68">
        <f>'RD T1'!E103</f>
        <v>125.58872609035251</v>
      </c>
      <c r="AF17" s="68">
        <f t="shared" si="32"/>
        <v>126.31941706823437</v>
      </c>
      <c r="AH17" t="str">
        <f t="shared" si="33"/>
        <v>34 Culture, media and sports occupations</v>
      </c>
      <c r="AI17" s="68">
        <v>31.925295219984385</v>
      </c>
      <c r="AJ17" s="68">
        <v>32.121783305850705</v>
      </c>
      <c r="AK17" s="68">
        <v>37.441421168767178</v>
      </c>
      <c r="AL17" s="68">
        <v>36.569802612897455</v>
      </c>
      <c r="AM17" s="68">
        <v>44.00884623445679</v>
      </c>
      <c r="AN17" s="68"/>
      <c r="AO17" s="68">
        <f t="shared" si="34"/>
        <v>6.567425065689612</v>
      </c>
      <c r="AP17" s="68">
        <f>'RD T1'!E132</f>
        <v>19.00351211753458</v>
      </c>
      <c r="AQ17" s="68">
        <f t="shared" si="35"/>
        <v>25.570937183224192</v>
      </c>
      <c r="AS17" t="str">
        <f t="shared" si="36"/>
        <v>34 Culture, media and sports occupations</v>
      </c>
      <c r="AT17" s="68">
        <v>39.231146537686058</v>
      </c>
      <c r="AU17" s="68">
        <v>36.261127909704676</v>
      </c>
      <c r="AV17" s="68">
        <v>38.898844093847899</v>
      </c>
      <c r="AW17" s="68">
        <v>34.682858612800892</v>
      </c>
      <c r="AX17" s="68">
        <v>33.678443376566022</v>
      </c>
      <c r="AY17" s="68"/>
      <c r="AZ17" s="68">
        <f t="shared" si="37"/>
        <v>-5.2204007172818763</v>
      </c>
      <c r="BA17" s="68">
        <f>'RD T1'!E161</f>
        <v>16.24003902556672</v>
      </c>
      <c r="BB17" s="68">
        <f t="shared" si="38"/>
        <v>11.019638308284843</v>
      </c>
      <c r="BD17" t="str">
        <f t="shared" si="39"/>
        <v>34 Culture, media and sports occupations</v>
      </c>
      <c r="BE17" s="68">
        <v>89.905371887386565</v>
      </c>
      <c r="BF17" s="68">
        <v>83.81852208410811</v>
      </c>
      <c r="BG17" s="68">
        <v>88.823015829416931</v>
      </c>
      <c r="BH17" s="68">
        <v>76.738691392099085</v>
      </c>
      <c r="BI17" s="68">
        <v>73.905945960910515</v>
      </c>
      <c r="BJ17" s="68"/>
      <c r="BK17" s="68">
        <f t="shared" si="40"/>
        <v>-14.917069868506417</v>
      </c>
      <c r="BL17" s="68">
        <f>'RD T1'!E190</f>
        <v>28.801855097495622</v>
      </c>
      <c r="BM17" s="68">
        <f t="shared" si="41"/>
        <v>13.884785228989205</v>
      </c>
      <c r="BO17" t="str">
        <f t="shared" si="42"/>
        <v>34 Culture, media and sports occupations</v>
      </c>
      <c r="BP17" s="68">
        <v>50.287987215883874</v>
      </c>
      <c r="BQ17" s="68">
        <v>43.460020271584405</v>
      </c>
      <c r="BR17" s="68">
        <v>40.543871535620703</v>
      </c>
      <c r="BS17" s="68">
        <v>30.52090972959175</v>
      </c>
      <c r="BT17" s="68">
        <v>18.025968954035374</v>
      </c>
      <c r="BU17" s="68"/>
      <c r="BV17" s="68">
        <f t="shared" si="43"/>
        <v>-22.517902581585329</v>
      </c>
      <c r="BW17" s="68">
        <f>'RD T1'!E219</f>
        <v>9.8517991155595848</v>
      </c>
      <c r="BX17" s="68">
        <f t="shared" si="44"/>
        <v>-12.666103466025744</v>
      </c>
      <c r="BZ17" t="str">
        <f t="shared" si="45"/>
        <v>34 Culture, media and sports occupations</v>
      </c>
      <c r="CA17" s="68">
        <v>40.948100539441633</v>
      </c>
      <c r="CB17" s="68">
        <v>37.88622341673603</v>
      </c>
      <c r="CC17" s="68">
        <v>35.847889106949374</v>
      </c>
      <c r="CD17" s="68">
        <v>29.066263777752546</v>
      </c>
      <c r="CE17" s="68">
        <v>18.89562973878407</v>
      </c>
      <c r="CF17" s="68"/>
      <c r="CG17" s="68">
        <f t="shared" si="46"/>
        <v>-16.952259368165304</v>
      </c>
      <c r="CH17" s="68">
        <f>'RD T1'!E248</f>
        <v>9.129266284354113</v>
      </c>
      <c r="CI17" s="68">
        <f t="shared" si="47"/>
        <v>-7.8229930838111912</v>
      </c>
      <c r="CK17" t="str">
        <f t="shared" si="48"/>
        <v>34 Culture, media and sports occupations</v>
      </c>
      <c r="CL17" s="68">
        <v>12.412862979368425</v>
      </c>
      <c r="CM17" s="68">
        <v>13.753355249151838</v>
      </c>
      <c r="CN17" s="68">
        <v>12.314698223340155</v>
      </c>
      <c r="CO17" s="68">
        <v>11.497912884333097</v>
      </c>
      <c r="CP17" s="68">
        <v>10.911601650824998</v>
      </c>
      <c r="CQ17" s="68"/>
      <c r="CR17" s="68">
        <f t="shared" si="49"/>
        <v>-1.4030965725151567</v>
      </c>
      <c r="CS17" s="68">
        <f>'RD T1'!E277</f>
        <v>3.7100399671829121</v>
      </c>
      <c r="CT17" s="68">
        <f t="shared" si="50"/>
        <v>2.3069433946677553</v>
      </c>
    </row>
    <row r="18" spans="1:98" x14ac:dyDescent="0.3">
      <c r="A18" s="10" t="str">
        <f>name!D14</f>
        <v>35 Business and public service associate professionals</v>
      </c>
      <c r="B18" s="68">
        <v>22.500028188667098</v>
      </c>
      <c r="C18" s="68">
        <v>29.338866803429227</v>
      </c>
      <c r="D18" s="68">
        <v>30.699691305221421</v>
      </c>
      <c r="E18" s="68">
        <v>39.855851679068316</v>
      </c>
      <c r="F18" s="68">
        <v>60.287471426689763</v>
      </c>
      <c r="G18" s="11"/>
      <c r="H18" s="68">
        <f t="shared" si="51"/>
        <v>29.587780121468342</v>
      </c>
      <c r="I18" s="68">
        <f>'RD T1'!E46</f>
        <v>21.739431263179551</v>
      </c>
      <c r="J18" s="68">
        <f t="shared" si="26"/>
        <v>51.327211384647896</v>
      </c>
      <c r="L18" t="str">
        <f t="shared" si="27"/>
        <v>35 Business and public service associate professionals</v>
      </c>
      <c r="M18" s="68">
        <v>236.83525457308576</v>
      </c>
      <c r="N18" s="68">
        <v>308.72749953036674</v>
      </c>
      <c r="O18" s="68">
        <v>321.9415733949433</v>
      </c>
      <c r="P18" s="68">
        <v>397.47301721245725</v>
      </c>
      <c r="Q18" s="68">
        <v>552.82271179572365</v>
      </c>
      <c r="R18" s="11"/>
      <c r="S18" s="68">
        <f t="shared" si="28"/>
        <v>230.88113840078034</v>
      </c>
      <c r="T18" s="68">
        <f>'RD T1'!E75</f>
        <v>216.33436108861787</v>
      </c>
      <c r="U18" s="68">
        <f t="shared" si="29"/>
        <v>447.21549948939821</v>
      </c>
      <c r="W18" t="str">
        <f t="shared" si="30"/>
        <v>35 Business and public service associate professionals</v>
      </c>
      <c r="X18" s="68">
        <v>507.28972919504884</v>
      </c>
      <c r="Y18" s="68">
        <v>539.95972842018523</v>
      </c>
      <c r="Z18" s="68">
        <v>558.11337973991806</v>
      </c>
      <c r="AA18" s="68">
        <v>536.76502453420142</v>
      </c>
      <c r="AB18" s="68">
        <v>544.07273468235621</v>
      </c>
      <c r="AC18" s="68"/>
      <c r="AD18" s="68">
        <f t="shared" si="31"/>
        <v>-14.040645057561846</v>
      </c>
      <c r="AE18" s="68">
        <f>'RD T1'!E104</f>
        <v>275.83024095196117</v>
      </c>
      <c r="AF18" s="68">
        <f t="shared" si="32"/>
        <v>261.78959589439933</v>
      </c>
      <c r="AH18" t="str">
        <f t="shared" si="33"/>
        <v>35 Business and public service associate professionals</v>
      </c>
      <c r="AI18" s="68">
        <v>128.0076425689897</v>
      </c>
      <c r="AJ18" s="68">
        <v>135.73616934665728</v>
      </c>
      <c r="AK18" s="68">
        <v>149.65396804331832</v>
      </c>
      <c r="AL18" s="68">
        <v>145.2402172430867</v>
      </c>
      <c r="AM18" s="68">
        <v>156.10963392118208</v>
      </c>
      <c r="AN18" s="68"/>
      <c r="AO18" s="68">
        <f t="shared" si="34"/>
        <v>6.4556658778637654</v>
      </c>
      <c r="AP18" s="68">
        <f>'RD T1'!E133</f>
        <v>73.065990163344409</v>
      </c>
      <c r="AQ18" s="68">
        <f t="shared" si="35"/>
        <v>79.521656041208175</v>
      </c>
      <c r="AS18" t="str">
        <f t="shared" si="36"/>
        <v>35 Business and public service associate professionals</v>
      </c>
      <c r="AT18" s="68">
        <v>117.3273023608368</v>
      </c>
      <c r="AU18" s="68">
        <v>122.7985453418674</v>
      </c>
      <c r="AV18" s="68">
        <v>131.66971295095703</v>
      </c>
      <c r="AW18" s="68">
        <v>125.15010515307323</v>
      </c>
      <c r="AX18" s="68">
        <v>131.98037365163606</v>
      </c>
      <c r="AY18" s="68"/>
      <c r="AZ18" s="68">
        <f t="shared" si="37"/>
        <v>0.31066070067902274</v>
      </c>
      <c r="BA18" s="68">
        <f>'RD T1'!E162</f>
        <v>61.547216728577432</v>
      </c>
      <c r="BB18" s="68">
        <f t="shared" si="38"/>
        <v>61.857877429256455</v>
      </c>
      <c r="BD18" t="str">
        <f t="shared" si="39"/>
        <v>35 Business and public service associate professionals</v>
      </c>
      <c r="BE18" s="68">
        <v>315.85436783179836</v>
      </c>
      <c r="BF18" s="68">
        <v>325.25096977830037</v>
      </c>
      <c r="BG18" s="68">
        <v>343.33794656030494</v>
      </c>
      <c r="BH18" s="68">
        <v>301.96084162172076</v>
      </c>
      <c r="BI18" s="68">
        <v>283.23845406005688</v>
      </c>
      <c r="BJ18" s="68"/>
      <c r="BK18" s="68">
        <f t="shared" si="40"/>
        <v>-60.099492500248061</v>
      </c>
      <c r="BL18" s="68">
        <f>'RD T1'!E191</f>
        <v>125.81619761411017</v>
      </c>
      <c r="BM18" s="68">
        <f t="shared" si="41"/>
        <v>65.716705113862105</v>
      </c>
      <c r="BO18" t="str">
        <f t="shared" si="42"/>
        <v>35 Business and public service associate professionals</v>
      </c>
      <c r="BP18" s="68">
        <v>265.15122555195433</v>
      </c>
      <c r="BQ18" s="68">
        <v>269.40736122492194</v>
      </c>
      <c r="BR18" s="68">
        <v>262.84163138319423</v>
      </c>
      <c r="BS18" s="68">
        <v>221.99863561687334</v>
      </c>
      <c r="BT18" s="68">
        <v>172.40822506752579</v>
      </c>
      <c r="BU18" s="68"/>
      <c r="BV18" s="68">
        <f t="shared" si="43"/>
        <v>-90.433406315668435</v>
      </c>
      <c r="BW18" s="68">
        <f>'RD T1'!E220</f>
        <v>81.557582185800271</v>
      </c>
      <c r="BX18" s="68">
        <f t="shared" si="44"/>
        <v>-8.8758241298681639</v>
      </c>
      <c r="BZ18" t="str">
        <f t="shared" si="45"/>
        <v>35 Business and public service associate professionals</v>
      </c>
      <c r="CA18" s="68">
        <v>166.44570386747634</v>
      </c>
      <c r="CB18" s="68">
        <v>166.24089625824035</v>
      </c>
      <c r="CC18" s="68">
        <v>158.9461950344778</v>
      </c>
      <c r="CD18" s="68">
        <v>128.63160981140305</v>
      </c>
      <c r="CE18" s="68">
        <v>79.420185732563155</v>
      </c>
      <c r="CF18" s="68"/>
      <c r="CG18" s="68">
        <f t="shared" si="46"/>
        <v>-79.526009301914641</v>
      </c>
      <c r="CH18" s="68">
        <f>'RD T1'!E249</f>
        <v>39.779934768510486</v>
      </c>
      <c r="CI18" s="68">
        <f t="shared" si="47"/>
        <v>-39.746074533404155</v>
      </c>
      <c r="CK18" t="str">
        <f t="shared" si="48"/>
        <v>35 Business and public service associate professionals</v>
      </c>
      <c r="CL18" s="68">
        <v>35.479613128039432</v>
      </c>
      <c r="CM18" s="68">
        <v>36.963281407097526</v>
      </c>
      <c r="CN18" s="68">
        <v>34.274402098872038</v>
      </c>
      <c r="CO18" s="68">
        <v>29.091529181431518</v>
      </c>
      <c r="CP18" s="68">
        <v>31.516048514610709</v>
      </c>
      <c r="CQ18" s="68"/>
      <c r="CR18" s="68">
        <f t="shared" si="49"/>
        <v>-2.7583535842613287</v>
      </c>
      <c r="CS18" s="68">
        <f>'RD T1'!E278</f>
        <v>9.7844496232877933</v>
      </c>
      <c r="CT18" s="68">
        <f t="shared" si="50"/>
        <v>7.0260960390264646</v>
      </c>
    </row>
    <row r="19" spans="1:98" x14ac:dyDescent="0.3">
      <c r="A19" s="10" t="str">
        <f>name!D15</f>
        <v>41 Administrative occupations</v>
      </c>
      <c r="B19" s="68">
        <v>12.518307868167835</v>
      </c>
      <c r="C19" s="68">
        <v>15.349043833416209</v>
      </c>
      <c r="D19" s="68">
        <v>16.497352804523402</v>
      </c>
      <c r="E19" s="68">
        <v>21.30586570888649</v>
      </c>
      <c r="F19" s="68">
        <v>33.060321301144043</v>
      </c>
      <c r="G19" s="11"/>
      <c r="H19" s="68">
        <f t="shared" si="51"/>
        <v>16.562968496620641</v>
      </c>
      <c r="I19" s="68">
        <f>'RD T1'!E47</f>
        <v>12.997934782514715</v>
      </c>
      <c r="J19" s="68">
        <f t="shared" si="26"/>
        <v>29.560903279135356</v>
      </c>
      <c r="L19" t="str">
        <f t="shared" si="27"/>
        <v>41 Administrative occupations</v>
      </c>
      <c r="M19" s="68">
        <v>140.84206858344729</v>
      </c>
      <c r="N19" s="68">
        <v>175.92392526567869</v>
      </c>
      <c r="O19" s="68">
        <v>189.36632911294154</v>
      </c>
      <c r="P19" s="68">
        <v>238.04315258895562</v>
      </c>
      <c r="Q19" s="68">
        <v>345.21259492188102</v>
      </c>
      <c r="R19" s="11"/>
      <c r="S19" s="68">
        <f t="shared" si="28"/>
        <v>155.84626580893948</v>
      </c>
      <c r="T19" s="68">
        <f>'RD T1'!E76</f>
        <v>144.43422677297909</v>
      </c>
      <c r="U19" s="68">
        <f t="shared" si="29"/>
        <v>300.28049258191857</v>
      </c>
      <c r="W19" t="str">
        <f t="shared" si="30"/>
        <v>41 Administrative occupations</v>
      </c>
      <c r="X19" s="68">
        <v>475.12760984255902</v>
      </c>
      <c r="Y19" s="68">
        <v>491.93934666222464</v>
      </c>
      <c r="Z19" s="68">
        <v>539.22968687270304</v>
      </c>
      <c r="AA19" s="68">
        <v>556.47919447058075</v>
      </c>
      <c r="AB19" s="68">
        <v>629.7245825832083</v>
      </c>
      <c r="AC19" s="68"/>
      <c r="AD19" s="68">
        <f t="shared" si="31"/>
        <v>90.494895710505261</v>
      </c>
      <c r="AE19" s="68">
        <f>'RD T1'!E105</f>
        <v>324.19307983688054</v>
      </c>
      <c r="AF19" s="68">
        <f t="shared" si="32"/>
        <v>414.6879755473858</v>
      </c>
      <c r="AH19" t="str">
        <f t="shared" si="33"/>
        <v>41 Administrative occupations</v>
      </c>
      <c r="AI19" s="68">
        <v>166.5493476779103</v>
      </c>
      <c r="AJ19" s="68">
        <v>173.85337982407052</v>
      </c>
      <c r="AK19" s="68">
        <v>191.48761428366313</v>
      </c>
      <c r="AL19" s="68">
        <v>192.63626038806851</v>
      </c>
      <c r="AM19" s="68">
        <v>214.05293508637797</v>
      </c>
      <c r="AN19" s="68"/>
      <c r="AO19" s="68">
        <f t="shared" si="34"/>
        <v>22.565320802714837</v>
      </c>
      <c r="AP19" s="68">
        <f>'RD T1'!E134</f>
        <v>117.97851040161554</v>
      </c>
      <c r="AQ19" s="68">
        <f t="shared" si="35"/>
        <v>140.54383120433039</v>
      </c>
      <c r="AS19" t="str">
        <f t="shared" si="36"/>
        <v>41 Administrative occupations</v>
      </c>
      <c r="AT19" s="68">
        <v>161.90522248188344</v>
      </c>
      <c r="AU19" s="68">
        <v>166.22707998669085</v>
      </c>
      <c r="AV19" s="68">
        <v>183.1650221778745</v>
      </c>
      <c r="AW19" s="68">
        <v>179.30967064327913</v>
      </c>
      <c r="AX19" s="68">
        <v>199.67805243180297</v>
      </c>
      <c r="AY19" s="68"/>
      <c r="AZ19" s="68">
        <f t="shared" si="37"/>
        <v>16.513030253928463</v>
      </c>
      <c r="BA19" s="68">
        <f>'RD T1'!E163</f>
        <v>103.69220187460228</v>
      </c>
      <c r="BB19" s="68">
        <f t="shared" si="38"/>
        <v>120.20523212853074</v>
      </c>
      <c r="BD19" t="str">
        <f t="shared" si="39"/>
        <v>41 Administrative occupations</v>
      </c>
      <c r="BE19" s="68">
        <v>521.02198804446516</v>
      </c>
      <c r="BF19" s="68">
        <v>509.50996806099744</v>
      </c>
      <c r="BG19" s="68">
        <v>541.44256549201168</v>
      </c>
      <c r="BH19" s="68">
        <v>474.6958497583384</v>
      </c>
      <c r="BI19" s="68">
        <v>398.70962449678399</v>
      </c>
      <c r="BJ19" s="68"/>
      <c r="BK19" s="68">
        <f t="shared" si="40"/>
        <v>-142.73294099522769</v>
      </c>
      <c r="BL19" s="68">
        <f>'RD T1'!E192</f>
        <v>213.6885075575384</v>
      </c>
      <c r="BM19" s="68">
        <f t="shared" si="41"/>
        <v>70.955566562310707</v>
      </c>
      <c r="BO19" t="str">
        <f t="shared" si="42"/>
        <v>41 Administrative occupations</v>
      </c>
      <c r="BP19" s="68">
        <v>610.33427347250529</v>
      </c>
      <c r="BQ19" s="68">
        <v>572.64542390364443</v>
      </c>
      <c r="BR19" s="68">
        <v>567.38048879905398</v>
      </c>
      <c r="BS19" s="68">
        <v>470.50064283196554</v>
      </c>
      <c r="BT19" s="68">
        <v>314.85788377019907</v>
      </c>
      <c r="BU19" s="68"/>
      <c r="BV19" s="68">
        <f t="shared" si="43"/>
        <v>-252.52260502885491</v>
      </c>
      <c r="BW19" s="68">
        <f>'RD T1'!E221</f>
        <v>182.7574781993726</v>
      </c>
      <c r="BX19" s="68">
        <f t="shared" si="44"/>
        <v>-69.765126829482313</v>
      </c>
      <c r="BZ19" t="str">
        <f t="shared" si="45"/>
        <v>41 Administrative occupations</v>
      </c>
      <c r="CA19" s="68">
        <v>337.82555325026271</v>
      </c>
      <c r="CB19" s="68">
        <v>294.1451677487496</v>
      </c>
      <c r="CC19" s="68">
        <v>275.99601850467667</v>
      </c>
      <c r="CD19" s="68">
        <v>185.31895014557657</v>
      </c>
      <c r="CE19" s="68">
        <v>68.721707917894008</v>
      </c>
      <c r="CF19" s="68"/>
      <c r="CG19" s="68">
        <f t="shared" si="46"/>
        <v>-207.27431058678266</v>
      </c>
      <c r="CH19" s="68">
        <f>'RD T1'!E250</f>
        <v>55.432652651109265</v>
      </c>
      <c r="CI19" s="68">
        <f t="shared" si="47"/>
        <v>-151.8416579356734</v>
      </c>
      <c r="CK19" t="str">
        <f t="shared" si="48"/>
        <v>41 Administrative occupations</v>
      </c>
      <c r="CL19" s="68">
        <v>83.185178119196351</v>
      </c>
      <c r="CM19" s="68">
        <v>72.999025003986418</v>
      </c>
      <c r="CN19" s="68">
        <v>69.829013776449131</v>
      </c>
      <c r="CO19" s="68">
        <v>54.004190717813323</v>
      </c>
      <c r="CP19" s="68">
        <v>42.637464129293022</v>
      </c>
      <c r="CQ19" s="68"/>
      <c r="CR19" s="68">
        <f t="shared" si="49"/>
        <v>-27.191549647156108</v>
      </c>
      <c r="CS19" s="68">
        <f>'RD T1'!E279</f>
        <v>16.128540942472551</v>
      </c>
      <c r="CT19" s="68">
        <f t="shared" si="50"/>
        <v>-11.063008704683558</v>
      </c>
    </row>
    <row r="20" spans="1:98" x14ac:dyDescent="0.3">
      <c r="A20" s="10" t="str">
        <f>name!D16</f>
        <v>42 Secretarial and related occupations</v>
      </c>
      <c r="B20" s="68">
        <v>1.1576406054267414</v>
      </c>
      <c r="C20" s="68">
        <v>1.5149485160144023</v>
      </c>
      <c r="D20" s="68">
        <v>1.4997361243583505</v>
      </c>
      <c r="E20" s="68">
        <v>2.5277747675755484</v>
      </c>
      <c r="F20" s="68">
        <v>4.9425700069960392</v>
      </c>
      <c r="G20" s="11"/>
      <c r="H20" s="68">
        <f t="shared" si="51"/>
        <v>3.4428338826376885</v>
      </c>
      <c r="I20" s="68">
        <f>'RD T1'!E48</f>
        <v>2.0758150990873823</v>
      </c>
      <c r="J20" s="68">
        <f t="shared" si="26"/>
        <v>5.5186489817250708</v>
      </c>
      <c r="L20" t="str">
        <f t="shared" si="27"/>
        <v>42 Secretarial and related occupations</v>
      </c>
      <c r="M20" s="68">
        <v>24.99995567724153</v>
      </c>
      <c r="N20" s="68">
        <v>29.436729763598631</v>
      </c>
      <c r="O20" s="68">
        <v>30.577696260873378</v>
      </c>
      <c r="P20" s="68">
        <v>49.553230158194154</v>
      </c>
      <c r="Q20" s="68">
        <v>66.674183359961475</v>
      </c>
      <c r="R20" s="11"/>
      <c r="S20" s="68">
        <f t="shared" si="28"/>
        <v>36.096487099088094</v>
      </c>
      <c r="T20" s="68">
        <f>'RD T1'!E77</f>
        <v>30.943485096016193</v>
      </c>
      <c r="U20" s="68">
        <f t="shared" si="29"/>
        <v>67.039972195104284</v>
      </c>
      <c r="W20" t="str">
        <f t="shared" si="30"/>
        <v>42 Secretarial and related occupations</v>
      </c>
      <c r="X20" s="68">
        <v>88.097718174181296</v>
      </c>
      <c r="Y20" s="68">
        <v>88.458557541100987</v>
      </c>
      <c r="Z20" s="68">
        <v>92.793487779408665</v>
      </c>
      <c r="AA20" s="68">
        <v>132.48907867865145</v>
      </c>
      <c r="AB20" s="68">
        <v>183.71611345875917</v>
      </c>
      <c r="AC20" s="68"/>
      <c r="AD20" s="68">
        <f t="shared" si="31"/>
        <v>90.922625679350503</v>
      </c>
      <c r="AE20" s="68">
        <f>'RD T1'!E106</f>
        <v>89.828634293698798</v>
      </c>
      <c r="AF20" s="68">
        <f t="shared" si="32"/>
        <v>180.75125997304929</v>
      </c>
      <c r="AH20" t="str">
        <f t="shared" si="33"/>
        <v>42 Secretarial and related occupations</v>
      </c>
      <c r="AI20" s="68">
        <v>40.905614525463172</v>
      </c>
      <c r="AJ20" s="68">
        <v>40.271835395103686</v>
      </c>
      <c r="AK20" s="68">
        <v>44.004335063178424</v>
      </c>
      <c r="AL20" s="68">
        <v>57.740401300149536</v>
      </c>
      <c r="AM20" s="68">
        <v>64.450532053184617</v>
      </c>
      <c r="AN20" s="68"/>
      <c r="AO20" s="68">
        <f t="shared" si="34"/>
        <v>20.446196990006193</v>
      </c>
      <c r="AP20" s="68">
        <f>'RD T1'!E135</f>
        <v>35.538645498714843</v>
      </c>
      <c r="AQ20" s="68">
        <f t="shared" si="35"/>
        <v>55.984842488721036</v>
      </c>
      <c r="AS20" t="str">
        <f t="shared" si="36"/>
        <v>42 Secretarial and related occupations</v>
      </c>
      <c r="AT20" s="68">
        <v>32.810954772754577</v>
      </c>
      <c r="AU20" s="68">
        <v>30.784319334302513</v>
      </c>
      <c r="AV20" s="68">
        <v>33.30017828700209</v>
      </c>
      <c r="AW20" s="68">
        <v>40.783384099135006</v>
      </c>
      <c r="AX20" s="68">
        <v>40.969943974679758</v>
      </c>
      <c r="AY20" s="68"/>
      <c r="AZ20" s="68">
        <f t="shared" si="37"/>
        <v>7.6697656876776676</v>
      </c>
      <c r="BA20" s="68">
        <f>'RD T1'!E164</f>
        <v>22.912955271928436</v>
      </c>
      <c r="BB20" s="68">
        <f t="shared" si="38"/>
        <v>30.582720959606103</v>
      </c>
      <c r="BD20" t="str">
        <f t="shared" si="39"/>
        <v>42 Secretarial and related occupations</v>
      </c>
      <c r="BE20" s="68">
        <v>119.98185981601912</v>
      </c>
      <c r="BF20" s="68">
        <v>109.47619768988817</v>
      </c>
      <c r="BG20" s="68">
        <v>109.2128514379568</v>
      </c>
      <c r="BH20" s="68">
        <v>119.010722553135</v>
      </c>
      <c r="BI20" s="68">
        <v>46.603079944867211</v>
      </c>
      <c r="BJ20" s="68"/>
      <c r="BK20" s="68">
        <f t="shared" si="40"/>
        <v>-62.609771493089589</v>
      </c>
      <c r="BL20" s="68">
        <f>'RD T1'!E193</f>
        <v>45.3084696719459</v>
      </c>
      <c r="BM20" s="68">
        <f t="shared" si="41"/>
        <v>-17.301301821143689</v>
      </c>
      <c r="BO20" t="str">
        <f t="shared" si="42"/>
        <v>42 Secretarial and related occupations</v>
      </c>
      <c r="BP20" s="68">
        <v>159.73268417777956</v>
      </c>
      <c r="BQ20" s="68">
        <v>131.82769162651272</v>
      </c>
      <c r="BR20" s="68">
        <v>120.74145102010606</v>
      </c>
      <c r="BS20" s="68">
        <v>99.036738372899222</v>
      </c>
      <c r="BT20" s="68">
        <v>25.959877848974575</v>
      </c>
      <c r="BU20" s="68"/>
      <c r="BV20" s="68">
        <f t="shared" si="43"/>
        <v>-94.781573171131484</v>
      </c>
      <c r="BW20" s="68">
        <f>'RD T1'!E222</f>
        <v>34.157476064627382</v>
      </c>
      <c r="BX20" s="68">
        <f t="shared" si="44"/>
        <v>-60.624097106504102</v>
      </c>
      <c r="BZ20" t="str">
        <f t="shared" si="45"/>
        <v>42 Secretarial and related occupations</v>
      </c>
      <c r="CA20" s="68">
        <v>139.93721469523683</v>
      </c>
      <c r="CB20" s="68">
        <v>124.76036858598076</v>
      </c>
      <c r="CC20" s="68">
        <v>111.06920788504358</v>
      </c>
      <c r="CD20" s="68">
        <v>64.568792061989498</v>
      </c>
      <c r="CE20" s="68">
        <v>14.267680143571621</v>
      </c>
      <c r="CF20" s="68"/>
      <c r="CG20" s="68">
        <f t="shared" si="46"/>
        <v>-96.801527741471958</v>
      </c>
      <c r="CH20" s="68">
        <f>'RD T1'!E251</f>
        <v>21.827021778221035</v>
      </c>
      <c r="CI20" s="68">
        <f t="shared" si="47"/>
        <v>-74.97450596325092</v>
      </c>
      <c r="CK20" t="str">
        <f t="shared" si="48"/>
        <v>42 Secretarial and related occupations</v>
      </c>
      <c r="CL20" s="68">
        <v>32.560568862287738</v>
      </c>
      <c r="CM20" s="68">
        <v>31.783617248694156</v>
      </c>
      <c r="CN20" s="68">
        <v>29.437301993053783</v>
      </c>
      <c r="CO20" s="68">
        <v>30.964097770621606</v>
      </c>
      <c r="CP20" s="68">
        <v>25.882908653817541</v>
      </c>
      <c r="CQ20" s="68"/>
      <c r="CR20" s="68">
        <f t="shared" si="49"/>
        <v>-3.5543933392362419</v>
      </c>
      <c r="CS20" s="68">
        <f>'RD T1'!E280</f>
        <v>11.660903882265389</v>
      </c>
      <c r="CT20" s="68">
        <f t="shared" si="50"/>
        <v>8.1065105430291471</v>
      </c>
    </row>
    <row r="21" spans="1:98" x14ac:dyDescent="0.3">
      <c r="A21" s="10" t="str">
        <f>name!D17</f>
        <v>51 Skilled agricultural and related trades</v>
      </c>
      <c r="B21" s="68">
        <v>0.66391031201953477</v>
      </c>
      <c r="C21" s="68">
        <v>1.0014212481960665</v>
      </c>
      <c r="D21" s="68">
        <v>0.80277462711026393</v>
      </c>
      <c r="E21" s="68">
        <v>1.0312346543999302</v>
      </c>
      <c r="F21" s="68">
        <v>1.5963372243833127</v>
      </c>
      <c r="G21" s="11"/>
      <c r="H21" s="68">
        <f t="shared" si="51"/>
        <v>0.79356259727304879</v>
      </c>
      <c r="I21" s="68">
        <f>'RD T1'!E49</f>
        <v>0.83954194101560387</v>
      </c>
      <c r="J21" s="68">
        <f t="shared" si="26"/>
        <v>1.6331045382886527</v>
      </c>
      <c r="L21" t="str">
        <f t="shared" si="27"/>
        <v>51 Skilled agricultural and related trades</v>
      </c>
      <c r="M21" s="68">
        <v>4.7603381009793324</v>
      </c>
      <c r="N21" s="68">
        <v>5.6451675611123067</v>
      </c>
      <c r="O21" s="68">
        <v>4.7646904413004254</v>
      </c>
      <c r="P21" s="68">
        <v>6.0469224299885171</v>
      </c>
      <c r="Q21" s="68">
        <v>9.4590902261197112</v>
      </c>
      <c r="R21" s="11"/>
      <c r="S21" s="68">
        <f t="shared" si="28"/>
        <v>4.6943997848192858</v>
      </c>
      <c r="T21" s="68">
        <f>'RD T1'!E78</f>
        <v>4.2666266493654481</v>
      </c>
      <c r="U21" s="68">
        <f t="shared" si="29"/>
        <v>8.9610264341847348</v>
      </c>
      <c r="W21" t="str">
        <f t="shared" si="30"/>
        <v>51 Skilled agricultural and related trades</v>
      </c>
      <c r="X21" s="68">
        <v>35.933767634072758</v>
      </c>
      <c r="Y21" s="68">
        <v>37.843524129509248</v>
      </c>
      <c r="Z21" s="68">
        <v>40.820132999099485</v>
      </c>
      <c r="AA21" s="68">
        <v>47.33144869708898</v>
      </c>
      <c r="AB21" s="68">
        <v>66.274403938201587</v>
      </c>
      <c r="AC21" s="68"/>
      <c r="AD21" s="68">
        <f t="shared" si="31"/>
        <v>25.454270939102102</v>
      </c>
      <c r="AE21" s="68">
        <f>'RD T1'!E107</f>
        <v>36.379699306290085</v>
      </c>
      <c r="AF21" s="68">
        <f t="shared" si="32"/>
        <v>61.833970245392187</v>
      </c>
      <c r="AH21" t="str">
        <f t="shared" si="33"/>
        <v>51 Skilled agricultural and related trades</v>
      </c>
      <c r="AI21" s="68">
        <v>16.782290209305742</v>
      </c>
      <c r="AJ21" s="68">
        <v>18.940962140869537</v>
      </c>
      <c r="AK21" s="68">
        <v>17.433835712033105</v>
      </c>
      <c r="AL21" s="68">
        <v>20.482720525507712</v>
      </c>
      <c r="AM21" s="68">
        <v>27.194121850678584</v>
      </c>
      <c r="AN21" s="68"/>
      <c r="AO21" s="68">
        <f t="shared" si="34"/>
        <v>9.7602861386454798</v>
      </c>
      <c r="AP21" s="68">
        <f>'RD T1'!E136</f>
        <v>16.360112209442292</v>
      </c>
      <c r="AQ21" s="68">
        <f t="shared" si="35"/>
        <v>26.120398348087772</v>
      </c>
      <c r="AS21" t="str">
        <f t="shared" si="36"/>
        <v>51 Skilled agricultural and related trades</v>
      </c>
      <c r="AT21" s="68">
        <v>24.392233123017629</v>
      </c>
      <c r="AU21" s="68">
        <v>26.469900542122549</v>
      </c>
      <c r="AV21" s="68">
        <v>25.028400986631627</v>
      </c>
      <c r="AW21" s="68">
        <v>28.024799360834773</v>
      </c>
      <c r="AX21" s="68">
        <v>38.361220873492307</v>
      </c>
      <c r="AY21" s="68"/>
      <c r="AZ21" s="68">
        <f t="shared" si="37"/>
        <v>13.33281988686068</v>
      </c>
      <c r="BA21" s="68">
        <f>'RD T1'!E165</f>
        <v>20.373738468354958</v>
      </c>
      <c r="BB21" s="68">
        <f t="shared" si="38"/>
        <v>33.706558355215634</v>
      </c>
      <c r="BD21" t="str">
        <f t="shared" si="39"/>
        <v>51 Skilled agricultural and related trades</v>
      </c>
      <c r="BE21" s="68">
        <v>46.150410490071529</v>
      </c>
      <c r="BF21" s="68">
        <v>45.91539976942348</v>
      </c>
      <c r="BG21" s="68">
        <v>40.277072553907644</v>
      </c>
      <c r="BH21" s="68">
        <v>38.606560499560018</v>
      </c>
      <c r="BI21" s="68">
        <v>40.179985983721721</v>
      </c>
      <c r="BJ21" s="68"/>
      <c r="BK21" s="68">
        <f t="shared" si="40"/>
        <v>-9.7086570185922483E-2</v>
      </c>
      <c r="BL21" s="68">
        <f>'RD T1'!E194</f>
        <v>20.387144049415724</v>
      </c>
      <c r="BM21" s="68">
        <f t="shared" si="41"/>
        <v>20.290057479229802</v>
      </c>
      <c r="BO21" t="str">
        <f t="shared" si="42"/>
        <v>51 Skilled agricultural and related trades</v>
      </c>
      <c r="BP21" s="68">
        <v>72.246808972118373</v>
      </c>
      <c r="BQ21" s="68">
        <v>73.193633883476707</v>
      </c>
      <c r="BR21" s="68">
        <v>61.676108131868773</v>
      </c>
      <c r="BS21" s="68">
        <v>60.200926345442376</v>
      </c>
      <c r="BT21" s="68">
        <v>58.740794800372818</v>
      </c>
      <c r="BU21" s="68"/>
      <c r="BV21" s="68">
        <f t="shared" si="43"/>
        <v>-2.935313331495955</v>
      </c>
      <c r="BW21" s="68">
        <f>'RD T1'!E223</f>
        <v>32.255767551152054</v>
      </c>
      <c r="BX21" s="68">
        <f t="shared" si="44"/>
        <v>29.320454219656099</v>
      </c>
      <c r="BZ21" t="str">
        <f t="shared" si="45"/>
        <v>51 Skilled agricultural and related trades</v>
      </c>
      <c r="CA21" s="68">
        <v>58.974446029946321</v>
      </c>
      <c r="CB21" s="68">
        <v>56.104903434334865</v>
      </c>
      <c r="CC21" s="68">
        <v>49.459239876493079</v>
      </c>
      <c r="CD21" s="68">
        <v>46.967852930715097</v>
      </c>
      <c r="CE21" s="68">
        <v>51.617947691037138</v>
      </c>
      <c r="CF21" s="68"/>
      <c r="CG21" s="68">
        <f t="shared" si="46"/>
        <v>2.1587078145440586</v>
      </c>
      <c r="CH21" s="68">
        <f>'RD T1'!E252</f>
        <v>22.147560308718365</v>
      </c>
      <c r="CI21" s="68">
        <f t="shared" si="47"/>
        <v>24.306268123262424</v>
      </c>
      <c r="CK21" t="str">
        <f t="shared" si="48"/>
        <v>51 Skilled agricultural and related trades</v>
      </c>
      <c r="CL21" s="68">
        <v>38.93444120812422</v>
      </c>
      <c r="CM21" s="68">
        <v>37.152921399015845</v>
      </c>
      <c r="CN21" s="68">
        <v>30.97588933350902</v>
      </c>
      <c r="CO21" s="68">
        <v>29.386398371102043</v>
      </c>
      <c r="CP21" s="68">
        <v>15.911691780510642</v>
      </c>
      <c r="CQ21" s="68"/>
      <c r="CR21" s="68">
        <f t="shared" si="49"/>
        <v>-15.064197552998378</v>
      </c>
      <c r="CS21" s="68">
        <f>'RD T1'!E281</f>
        <v>8.9006519958875394</v>
      </c>
      <c r="CT21" s="68">
        <f t="shared" si="50"/>
        <v>-6.1635455571108384</v>
      </c>
    </row>
    <row r="22" spans="1:98" x14ac:dyDescent="0.3">
      <c r="A22" s="10" t="str">
        <f>name!D18</f>
        <v>52 Skilled metal, electrical and electronic trades</v>
      </c>
      <c r="B22" s="68">
        <v>0.99998188340948113</v>
      </c>
      <c r="C22" s="68">
        <v>1.2313776263240319</v>
      </c>
      <c r="D22" s="68">
        <v>1.2691295115349592</v>
      </c>
      <c r="E22" s="68">
        <v>1.6938411498515384</v>
      </c>
      <c r="F22" s="68">
        <v>2.7196567518126717</v>
      </c>
      <c r="G22" s="11"/>
      <c r="H22" s="68">
        <f t="shared" si="51"/>
        <v>1.4505272402777125</v>
      </c>
      <c r="I22" s="68">
        <f>'RD T1'!E50</f>
        <v>0.90414369394377281</v>
      </c>
      <c r="J22" s="68">
        <f t="shared" si="26"/>
        <v>2.3546709342214855</v>
      </c>
      <c r="L22" t="str">
        <f t="shared" si="27"/>
        <v>52 Skilled metal, electrical and electronic trades</v>
      </c>
      <c r="M22" s="68">
        <v>18.798268171433257</v>
      </c>
      <c r="N22" s="68">
        <v>24.534890376601187</v>
      </c>
      <c r="O22" s="68">
        <v>21.130942051940551</v>
      </c>
      <c r="P22" s="68">
        <v>34.893241023278463</v>
      </c>
      <c r="Q22" s="68">
        <v>58.964946462048815</v>
      </c>
      <c r="R22" s="11"/>
      <c r="S22" s="68">
        <f t="shared" si="28"/>
        <v>37.834004410108264</v>
      </c>
      <c r="T22" s="68">
        <f>'RD T1'!E79</f>
        <v>20.317612567580074</v>
      </c>
      <c r="U22" s="68">
        <f t="shared" si="29"/>
        <v>58.151616977688334</v>
      </c>
      <c r="W22" t="str">
        <f t="shared" si="30"/>
        <v>52 Skilled metal, electrical and electronic trades</v>
      </c>
      <c r="X22" s="68">
        <v>57.226960468107492</v>
      </c>
      <c r="Y22" s="68">
        <v>62.044464623286714</v>
      </c>
      <c r="Z22" s="68">
        <v>53.284065891211966</v>
      </c>
      <c r="AA22" s="68">
        <v>66.394315042086944</v>
      </c>
      <c r="AB22" s="68">
        <v>84.379448541187173</v>
      </c>
      <c r="AC22" s="68"/>
      <c r="AD22" s="68">
        <f t="shared" si="31"/>
        <v>31.095382649975207</v>
      </c>
      <c r="AE22" s="68">
        <f>'RD T1'!E108</f>
        <v>35.517662164125106</v>
      </c>
      <c r="AF22" s="68">
        <f t="shared" si="32"/>
        <v>66.613044814100306</v>
      </c>
      <c r="AH22" t="str">
        <f t="shared" si="33"/>
        <v>52 Skilled metal, electrical and electronic trades</v>
      </c>
      <c r="AI22" s="68">
        <v>20.589942909501861</v>
      </c>
      <c r="AJ22" s="68">
        <v>21.846760246813737</v>
      </c>
      <c r="AK22" s="68">
        <v>19.933672973264702</v>
      </c>
      <c r="AL22" s="68">
        <v>22.165373148068404</v>
      </c>
      <c r="AM22" s="68">
        <v>28.328256935556713</v>
      </c>
      <c r="AN22" s="68"/>
      <c r="AO22" s="68">
        <f t="shared" si="34"/>
        <v>8.3945839622920104</v>
      </c>
      <c r="AP22" s="68">
        <f>'RD T1'!E137</f>
        <v>11.084130844305168</v>
      </c>
      <c r="AQ22" s="68">
        <f t="shared" si="35"/>
        <v>19.478714806597178</v>
      </c>
      <c r="AS22" t="str">
        <f t="shared" si="36"/>
        <v>52 Skilled metal, electrical and electronic trades</v>
      </c>
      <c r="AT22" s="68">
        <v>83.119346645833247</v>
      </c>
      <c r="AU22" s="68">
        <v>85.813634558415544</v>
      </c>
      <c r="AV22" s="68">
        <v>77.745815595579728</v>
      </c>
      <c r="AW22" s="68">
        <v>85.051713530811838</v>
      </c>
      <c r="AX22" s="68">
        <v>103.04264096273295</v>
      </c>
      <c r="AY22" s="68"/>
      <c r="AZ22" s="68">
        <f t="shared" si="37"/>
        <v>25.296825367153218</v>
      </c>
      <c r="BA22" s="68">
        <f>'RD T1'!E166</f>
        <v>41.02980995682524</v>
      </c>
      <c r="BB22" s="68">
        <f t="shared" si="38"/>
        <v>66.326635323978451</v>
      </c>
      <c r="BD22" t="str">
        <f t="shared" si="39"/>
        <v>52 Skilled metal, electrical and electronic trades</v>
      </c>
      <c r="BE22" s="68">
        <v>422.1763327966089</v>
      </c>
      <c r="BF22" s="68">
        <v>432.38204908959955</v>
      </c>
      <c r="BG22" s="68">
        <v>387.56384404437597</v>
      </c>
      <c r="BH22" s="68">
        <v>375.50301006757041</v>
      </c>
      <c r="BI22" s="68">
        <v>352.56983093376061</v>
      </c>
      <c r="BJ22" s="68"/>
      <c r="BK22" s="68">
        <f t="shared" si="40"/>
        <v>-34.994013110615356</v>
      </c>
      <c r="BL22" s="68">
        <f>'RD T1'!E195</f>
        <v>127.49785405683305</v>
      </c>
      <c r="BM22" s="68">
        <f t="shared" si="41"/>
        <v>92.503840946217693</v>
      </c>
      <c r="BO22" t="str">
        <f t="shared" si="42"/>
        <v>52 Skilled metal, electrical and electronic trades</v>
      </c>
      <c r="BP22" s="68">
        <v>255.51112139093598</v>
      </c>
      <c r="BQ22" s="68">
        <v>257.39547956374315</v>
      </c>
      <c r="BR22" s="68">
        <v>219.58902283525106</v>
      </c>
      <c r="BS22" s="68">
        <v>202.12652370783849</v>
      </c>
      <c r="BT22" s="68">
        <v>163.94407516031032</v>
      </c>
      <c r="BU22" s="68"/>
      <c r="BV22" s="68">
        <f t="shared" si="43"/>
        <v>-55.644947674940738</v>
      </c>
      <c r="BW22" s="68">
        <f>'RD T1'!E224</f>
        <v>69.56906719073136</v>
      </c>
      <c r="BX22" s="68">
        <f t="shared" si="44"/>
        <v>13.924119515790622</v>
      </c>
      <c r="BZ22" t="str">
        <f t="shared" si="45"/>
        <v>52 Skilled metal, electrical and electronic trades</v>
      </c>
      <c r="CA22" s="68">
        <v>132.74551023979441</v>
      </c>
      <c r="CB22" s="68">
        <v>127.34372886980759</v>
      </c>
      <c r="CC22" s="68">
        <v>105.28125656792901</v>
      </c>
      <c r="CD22" s="68">
        <v>97.424107808870176</v>
      </c>
      <c r="CE22" s="68">
        <v>54.65632867778573</v>
      </c>
      <c r="CF22" s="68"/>
      <c r="CG22" s="68">
        <f t="shared" si="46"/>
        <v>-50.624927890143276</v>
      </c>
      <c r="CH22" s="68">
        <f>'RD T1'!E253</f>
        <v>29.913841980141385</v>
      </c>
      <c r="CI22" s="68">
        <f t="shared" si="47"/>
        <v>-20.711085910001891</v>
      </c>
      <c r="CK22" t="str">
        <f t="shared" si="48"/>
        <v>52 Skilled metal, electrical and electronic trades</v>
      </c>
      <c r="CL22" s="68">
        <v>50.990001308025768</v>
      </c>
      <c r="CM22" s="68">
        <v>51.592055311675111</v>
      </c>
      <c r="CN22" s="68">
        <v>40.55791816394801</v>
      </c>
      <c r="CO22" s="68">
        <v>36.501746999452187</v>
      </c>
      <c r="CP22" s="68">
        <v>24.071030902106777</v>
      </c>
      <c r="CQ22" s="68"/>
      <c r="CR22" s="68">
        <f t="shared" si="49"/>
        <v>-16.486887261841233</v>
      </c>
      <c r="CS22" s="68">
        <f>'RD T1'!E282</f>
        <v>10.997147007631286</v>
      </c>
      <c r="CT22" s="68">
        <f t="shared" si="50"/>
        <v>-5.4897402542099467</v>
      </c>
    </row>
    <row r="23" spans="1:98" x14ac:dyDescent="0.3">
      <c r="A23" s="10" t="str">
        <f>name!D19</f>
        <v>53 Skilled construction and building trades</v>
      </c>
      <c r="B23" s="68">
        <v>0.54306526087863261</v>
      </c>
      <c r="C23" s="68">
        <v>0.42131235562644703</v>
      </c>
      <c r="D23" s="68">
        <v>0.30944127302738861</v>
      </c>
      <c r="E23" s="68">
        <v>0.5768788246838692</v>
      </c>
      <c r="F23" s="68">
        <v>0.7505436671905652</v>
      </c>
      <c r="G23" s="11"/>
      <c r="H23" s="68">
        <f t="shared" si="51"/>
        <v>0.44110239416317659</v>
      </c>
      <c r="I23" s="68">
        <f>'RD T1'!E51</f>
        <v>0.27723123728819465</v>
      </c>
      <c r="J23" s="68">
        <f t="shared" si="26"/>
        <v>0.7183336314513713</v>
      </c>
      <c r="L23" t="str">
        <f t="shared" si="27"/>
        <v>53 Skilled construction and building trades</v>
      </c>
      <c r="M23" s="68">
        <v>9.9051749349487377</v>
      </c>
      <c r="N23" s="68">
        <v>11.743232756175749</v>
      </c>
      <c r="O23" s="68">
        <v>9.7498835479210726</v>
      </c>
      <c r="P23" s="68">
        <v>15.047973595393174</v>
      </c>
      <c r="Q23" s="68">
        <v>24.481430503920294</v>
      </c>
      <c r="R23" s="11"/>
      <c r="S23" s="68">
        <f t="shared" si="28"/>
        <v>14.731546955999221</v>
      </c>
      <c r="T23" s="68">
        <f>'RD T1'!E80</f>
        <v>8.9919574126727575</v>
      </c>
      <c r="U23" s="68">
        <f t="shared" si="29"/>
        <v>23.723504368671978</v>
      </c>
      <c r="W23" t="str">
        <f t="shared" si="30"/>
        <v>53 Skilled construction and building trades</v>
      </c>
      <c r="X23" s="68">
        <v>34.258228416560137</v>
      </c>
      <c r="Y23" s="68">
        <v>33.35424212007036</v>
      </c>
      <c r="Z23" s="68">
        <v>29.339671270682373</v>
      </c>
      <c r="AA23" s="68">
        <v>37.28113547379435</v>
      </c>
      <c r="AB23" s="68">
        <v>44.543100228968257</v>
      </c>
      <c r="AC23" s="68"/>
      <c r="AD23" s="68">
        <f t="shared" si="31"/>
        <v>15.203428958285883</v>
      </c>
      <c r="AE23" s="68">
        <f>'RD T1'!E109</f>
        <v>20.86994599247172</v>
      </c>
      <c r="AF23" s="68">
        <f t="shared" si="32"/>
        <v>36.073374950757604</v>
      </c>
      <c r="AH23" t="str">
        <f t="shared" si="33"/>
        <v>53 Skilled construction and building trades</v>
      </c>
      <c r="AI23" s="68">
        <v>20.635151058122005</v>
      </c>
      <c r="AJ23" s="68">
        <v>22.768823507351804</v>
      </c>
      <c r="AK23" s="68">
        <v>19.948288549255484</v>
      </c>
      <c r="AL23" s="68">
        <v>24.766363061151683</v>
      </c>
      <c r="AM23" s="68">
        <v>30.421064248562999</v>
      </c>
      <c r="AN23" s="68"/>
      <c r="AO23" s="68">
        <f t="shared" si="34"/>
        <v>10.472775699307515</v>
      </c>
      <c r="AP23" s="68">
        <f>'RD T1'!E138</f>
        <v>14.945713485196661</v>
      </c>
      <c r="AQ23" s="68">
        <f t="shared" si="35"/>
        <v>25.418489184504175</v>
      </c>
      <c r="AS23" t="str">
        <f t="shared" si="36"/>
        <v>53 Skilled construction and building trades</v>
      </c>
      <c r="AT23" s="68">
        <v>32.312597104079607</v>
      </c>
      <c r="AU23" s="68">
        <v>31.774046135194464</v>
      </c>
      <c r="AV23" s="68">
        <v>28.832423041409918</v>
      </c>
      <c r="AW23" s="68">
        <v>37.357628709033605</v>
      </c>
      <c r="AX23" s="68">
        <v>43.680551652522801</v>
      </c>
      <c r="AY23" s="68"/>
      <c r="AZ23" s="68">
        <f t="shared" si="37"/>
        <v>14.848128611112884</v>
      </c>
      <c r="BA23" s="68">
        <f>'RD T1'!E167</f>
        <v>21.729328112417466</v>
      </c>
      <c r="BB23" s="68">
        <f t="shared" si="38"/>
        <v>36.577456723530346</v>
      </c>
      <c r="BD23" t="str">
        <f t="shared" si="39"/>
        <v>53 Skilled construction and building trades</v>
      </c>
      <c r="BE23" s="68">
        <v>314.91803950041231</v>
      </c>
      <c r="BF23" s="68">
        <v>299.23800813728639</v>
      </c>
      <c r="BG23" s="68">
        <v>262.60313047389013</v>
      </c>
      <c r="BH23" s="68">
        <v>262.3121394093547</v>
      </c>
      <c r="BI23" s="68">
        <v>233.0022340452951</v>
      </c>
      <c r="BJ23" s="68"/>
      <c r="BK23" s="68">
        <f t="shared" si="40"/>
        <v>-29.600896428595036</v>
      </c>
      <c r="BL23" s="68">
        <f>'RD T1'!E196</f>
        <v>94.949010107716987</v>
      </c>
      <c r="BM23" s="68">
        <f t="shared" si="41"/>
        <v>65.348113679121951</v>
      </c>
      <c r="BO23" t="str">
        <f t="shared" si="42"/>
        <v>53 Skilled construction and building trades</v>
      </c>
      <c r="BP23" s="68">
        <v>274.18417764752178</v>
      </c>
      <c r="BQ23" s="68">
        <v>290.61301706181519</v>
      </c>
      <c r="BR23" s="68">
        <v>243.59495492479925</v>
      </c>
      <c r="BS23" s="68">
        <v>267.72999139384854</v>
      </c>
      <c r="BT23" s="68">
        <v>262.7585679420875</v>
      </c>
      <c r="BU23" s="68"/>
      <c r="BV23" s="68">
        <f t="shared" si="43"/>
        <v>19.163613017288242</v>
      </c>
      <c r="BW23" s="68">
        <f>'RD T1'!E225</f>
        <v>116.06386124901428</v>
      </c>
      <c r="BX23" s="68">
        <f t="shared" si="44"/>
        <v>135.22747426630252</v>
      </c>
      <c r="BZ23" t="str">
        <f t="shared" si="45"/>
        <v>53 Skilled construction and building trades</v>
      </c>
      <c r="CA23" s="68">
        <v>148.49539001150816</v>
      </c>
      <c r="CB23" s="68">
        <v>143.17871354239659</v>
      </c>
      <c r="CC23" s="68">
        <v>116.97813320730828</v>
      </c>
      <c r="CD23" s="68">
        <v>122.55102947800047</v>
      </c>
      <c r="CE23" s="68">
        <v>112.94116591758696</v>
      </c>
      <c r="CF23" s="68"/>
      <c r="CG23" s="68">
        <f t="shared" si="46"/>
        <v>-4.0369672897213178</v>
      </c>
      <c r="CH23" s="68">
        <f>'RD T1'!E254</f>
        <v>46.021664582531592</v>
      </c>
      <c r="CI23" s="68">
        <f t="shared" si="47"/>
        <v>41.984697292810274</v>
      </c>
      <c r="CK23" t="str">
        <f t="shared" si="48"/>
        <v>53 Skilled construction and building trades</v>
      </c>
      <c r="CL23" s="68">
        <v>82.975084815565751</v>
      </c>
      <c r="CM23" s="68">
        <v>74.306003439267897</v>
      </c>
      <c r="CN23" s="68">
        <v>56.217210631349481</v>
      </c>
      <c r="CO23" s="68">
        <v>41.464480070754632</v>
      </c>
      <c r="CP23" s="68">
        <v>10.650783327130778</v>
      </c>
      <c r="CQ23" s="68"/>
      <c r="CR23" s="68">
        <f t="shared" si="49"/>
        <v>-45.566427304218706</v>
      </c>
      <c r="CS23" s="68">
        <f>'RD T1'!E283</f>
        <v>9.1047438062390249</v>
      </c>
      <c r="CT23" s="68">
        <f t="shared" si="50"/>
        <v>-36.461683497979678</v>
      </c>
    </row>
    <row r="24" spans="1:98" x14ac:dyDescent="0.3">
      <c r="A24" s="10" t="str">
        <f>name!D20</f>
        <v>54 Textiles, printing and other skilled trades</v>
      </c>
      <c r="B24" s="68">
        <v>2.0261417991107287</v>
      </c>
      <c r="C24" s="68">
        <v>2.1857188062504318</v>
      </c>
      <c r="D24" s="68">
        <v>2.1585895424819643</v>
      </c>
      <c r="E24" s="68">
        <v>3.0421723529236395</v>
      </c>
      <c r="F24" s="68">
        <v>4.5814888489681787</v>
      </c>
      <c r="G24" s="11"/>
      <c r="H24" s="68">
        <f t="shared" si="51"/>
        <v>2.4228993064862143</v>
      </c>
      <c r="I24" s="68">
        <f>'RD T1'!E52</f>
        <v>1.7812266793598395</v>
      </c>
      <c r="J24" s="68">
        <f t="shared" si="26"/>
        <v>4.204125985846054</v>
      </c>
      <c r="L24" t="str">
        <f t="shared" si="27"/>
        <v>54 Textiles, printing and other skilled trades</v>
      </c>
      <c r="M24" s="68">
        <v>17.325379904754865</v>
      </c>
      <c r="N24" s="68">
        <v>21.518988847328899</v>
      </c>
      <c r="O24" s="68">
        <v>22.157163082934943</v>
      </c>
      <c r="P24" s="68">
        <v>31.963698150558066</v>
      </c>
      <c r="Q24" s="68">
        <v>55.235053187263404</v>
      </c>
      <c r="R24" s="11"/>
      <c r="S24" s="68">
        <f t="shared" si="28"/>
        <v>33.077890104328461</v>
      </c>
      <c r="T24" s="68">
        <f>'RD T1'!E81</f>
        <v>20.887622061819574</v>
      </c>
      <c r="U24" s="68">
        <f t="shared" si="29"/>
        <v>53.965512166148031</v>
      </c>
      <c r="W24" t="str">
        <f t="shared" si="30"/>
        <v>54 Textiles, printing and other skilled trades</v>
      </c>
      <c r="X24" s="68">
        <v>52.050534791876835</v>
      </c>
      <c r="Y24" s="68">
        <v>52.591818611409238</v>
      </c>
      <c r="Z24" s="68">
        <v>51.834151573103384</v>
      </c>
      <c r="AA24" s="68">
        <v>63.364529487199682</v>
      </c>
      <c r="AB24" s="68">
        <v>80.9481863362534</v>
      </c>
      <c r="AC24" s="68"/>
      <c r="AD24" s="68">
        <f t="shared" si="31"/>
        <v>29.114034763150016</v>
      </c>
      <c r="AE24" s="68">
        <f>'RD T1'!E110</f>
        <v>38.272375648023413</v>
      </c>
      <c r="AF24" s="68">
        <f t="shared" si="32"/>
        <v>67.386410411173429</v>
      </c>
      <c r="AH24" t="str">
        <f t="shared" si="33"/>
        <v>54 Textiles, printing and other skilled trades</v>
      </c>
      <c r="AI24" s="68">
        <v>19.854524254795333</v>
      </c>
      <c r="AJ24" s="68">
        <v>19.142124292893548</v>
      </c>
      <c r="AK24" s="68">
        <v>20.245969319873907</v>
      </c>
      <c r="AL24" s="68">
        <v>21.83768711545012</v>
      </c>
      <c r="AM24" s="68">
        <v>26.961376199323322</v>
      </c>
      <c r="AN24" s="68"/>
      <c r="AO24" s="68">
        <f t="shared" si="34"/>
        <v>6.7154068794494144</v>
      </c>
      <c r="AP24" s="68">
        <f>'RD T1'!E139</f>
        <v>13.315425974460968</v>
      </c>
      <c r="AQ24" s="68">
        <f t="shared" si="35"/>
        <v>20.030832853910383</v>
      </c>
      <c r="AS24" t="str">
        <f t="shared" si="36"/>
        <v>54 Textiles, printing and other skilled trades</v>
      </c>
      <c r="AT24" s="68">
        <v>23.726055391896608</v>
      </c>
      <c r="AU24" s="68">
        <v>22.837173109794421</v>
      </c>
      <c r="AV24" s="68">
        <v>23.242290181881796</v>
      </c>
      <c r="AW24" s="68">
        <v>27.014308415602606</v>
      </c>
      <c r="AX24" s="68">
        <v>32.544947961860494</v>
      </c>
      <c r="AY24" s="68"/>
      <c r="AZ24" s="68">
        <f t="shared" si="37"/>
        <v>9.3026577799786985</v>
      </c>
      <c r="BA24" s="68">
        <f>'RD T1'!E168</f>
        <v>15.552727930202476</v>
      </c>
      <c r="BB24" s="68">
        <f t="shared" si="38"/>
        <v>24.855385710181174</v>
      </c>
      <c r="BD24" t="str">
        <f t="shared" si="39"/>
        <v>54 Textiles, printing and other skilled trades</v>
      </c>
      <c r="BE24" s="68">
        <v>150.24867105663131</v>
      </c>
      <c r="BF24" s="68">
        <v>141.17325447727566</v>
      </c>
      <c r="BG24" s="68">
        <v>134.71597471570939</v>
      </c>
      <c r="BH24" s="68">
        <v>141.86159450757486</v>
      </c>
      <c r="BI24" s="68">
        <v>144.2237267206749</v>
      </c>
      <c r="BJ24" s="68"/>
      <c r="BK24" s="68">
        <f t="shared" si="40"/>
        <v>9.5077520049655107</v>
      </c>
      <c r="BL24" s="68">
        <f>'RD T1'!E197</f>
        <v>58.293042095026109</v>
      </c>
      <c r="BM24" s="68">
        <f t="shared" si="41"/>
        <v>67.80079409999162</v>
      </c>
      <c r="BO24" t="str">
        <f t="shared" si="42"/>
        <v>54 Textiles, printing and other skilled trades</v>
      </c>
      <c r="BP24" s="68">
        <v>161.86144929746666</v>
      </c>
      <c r="BQ24" s="68">
        <v>138.44214555896974</v>
      </c>
      <c r="BR24" s="68">
        <v>129.76249687094062</v>
      </c>
      <c r="BS24" s="68">
        <v>113.07795896571128</v>
      </c>
      <c r="BT24" s="68">
        <v>96.879826594754221</v>
      </c>
      <c r="BU24" s="68"/>
      <c r="BV24" s="68">
        <f t="shared" si="43"/>
        <v>-32.882670276186403</v>
      </c>
      <c r="BW24" s="68">
        <f>'RD T1'!E226</f>
        <v>42.675626254684076</v>
      </c>
      <c r="BX24" s="68">
        <f t="shared" si="44"/>
        <v>9.7929559784976732</v>
      </c>
      <c r="BZ24" t="str">
        <f t="shared" si="45"/>
        <v>54 Textiles, printing and other skilled trades</v>
      </c>
      <c r="CA24" s="68">
        <v>139.86615462731018</v>
      </c>
      <c r="CB24" s="68">
        <v>126.12995506183611</v>
      </c>
      <c r="CC24" s="68">
        <v>115.42027908279015</v>
      </c>
      <c r="CD24" s="68">
        <v>111.93388801280982</v>
      </c>
      <c r="CE24" s="68">
        <v>86.892764095458929</v>
      </c>
      <c r="CF24" s="68"/>
      <c r="CG24" s="68">
        <f t="shared" si="46"/>
        <v>-28.527514987331216</v>
      </c>
      <c r="CH24" s="68">
        <f>'RD T1'!E255</f>
        <v>36.706090912933547</v>
      </c>
      <c r="CI24" s="68">
        <f t="shared" si="47"/>
        <v>8.1785759256023312</v>
      </c>
      <c r="CK24" t="str">
        <f t="shared" si="48"/>
        <v>54 Textiles, printing and other skilled trades</v>
      </c>
      <c r="CL24" s="68">
        <v>63.509024536995646</v>
      </c>
      <c r="CM24" s="68">
        <v>52.900602238503367</v>
      </c>
      <c r="CN24" s="68">
        <v>45.574384009016214</v>
      </c>
      <c r="CO24" s="68">
        <v>31.221424050901287</v>
      </c>
      <c r="CP24" s="68">
        <v>20.629605376349783</v>
      </c>
      <c r="CQ24" s="68"/>
      <c r="CR24" s="68">
        <f t="shared" si="49"/>
        <v>-24.944778632666431</v>
      </c>
      <c r="CS24" s="68">
        <f>'RD T1'!E284</f>
        <v>8.7986218149138598</v>
      </c>
      <c r="CT24" s="68">
        <f t="shared" si="50"/>
        <v>-16.146156817752569</v>
      </c>
    </row>
    <row r="25" spans="1:98" x14ac:dyDescent="0.3">
      <c r="A25" s="10" t="str">
        <f>name!D21</f>
        <v>61 Caring personal service occupations</v>
      </c>
      <c r="B25" s="68">
        <v>1.5447363142950858</v>
      </c>
      <c r="C25" s="68">
        <v>1.89069385945611</v>
      </c>
      <c r="D25" s="68">
        <v>1.870152888765823</v>
      </c>
      <c r="E25" s="68">
        <v>2.8761005019074544</v>
      </c>
      <c r="F25" s="68">
        <v>4.7872662733850557</v>
      </c>
      <c r="G25" s="11"/>
      <c r="H25" s="68">
        <f t="shared" si="51"/>
        <v>2.917113384619233</v>
      </c>
      <c r="I25" s="68">
        <f>'RD T1'!E53</f>
        <v>1.8636641713172921</v>
      </c>
      <c r="J25" s="68">
        <f t="shared" si="26"/>
        <v>4.7807775559365249</v>
      </c>
      <c r="L25" t="str">
        <f t="shared" si="27"/>
        <v>61 Caring personal service occupations</v>
      </c>
      <c r="M25" s="68">
        <v>70.97218097686914</v>
      </c>
      <c r="N25" s="68">
        <v>97.189150501137973</v>
      </c>
      <c r="O25" s="68">
        <v>95.840659568327482</v>
      </c>
      <c r="P25" s="68">
        <v>139.44981969266206</v>
      </c>
      <c r="Q25" s="68">
        <v>226.50366669810498</v>
      </c>
      <c r="R25" s="11"/>
      <c r="S25" s="68">
        <f t="shared" si="28"/>
        <v>130.6630071297775</v>
      </c>
      <c r="T25" s="68">
        <f>'RD T1'!E82</f>
        <v>96.261485929626389</v>
      </c>
      <c r="U25" s="68">
        <f t="shared" si="29"/>
        <v>226.92449305940389</v>
      </c>
      <c r="W25" t="str">
        <f t="shared" si="30"/>
        <v>61 Caring personal service occupations</v>
      </c>
      <c r="X25" s="68">
        <v>231.23019378498708</v>
      </c>
      <c r="Y25" s="68">
        <v>258.76486588357011</v>
      </c>
      <c r="Z25" s="68">
        <v>264.23370425746685</v>
      </c>
      <c r="AA25" s="68">
        <v>313.44166138511775</v>
      </c>
      <c r="AB25" s="68">
        <v>386.0730326710177</v>
      </c>
      <c r="AC25" s="68"/>
      <c r="AD25" s="68">
        <f t="shared" si="31"/>
        <v>121.83932841355085</v>
      </c>
      <c r="AE25" s="68">
        <f>'RD T1'!E111</f>
        <v>217.86073622790465</v>
      </c>
      <c r="AF25" s="68">
        <f t="shared" si="32"/>
        <v>339.70006464145547</v>
      </c>
      <c r="AH25" t="str">
        <f t="shared" si="33"/>
        <v>61 Caring personal service occupations</v>
      </c>
      <c r="AI25" s="68">
        <v>210.15284418101987</v>
      </c>
      <c r="AJ25" s="68">
        <v>207.80417106962946</v>
      </c>
      <c r="AK25" s="68">
        <v>212.7644657403437</v>
      </c>
      <c r="AL25" s="68">
        <v>223.74430484450855</v>
      </c>
      <c r="AM25" s="68">
        <v>236.02939344826689</v>
      </c>
      <c r="AN25" s="68"/>
      <c r="AO25" s="68">
        <f t="shared" si="34"/>
        <v>23.264927707923192</v>
      </c>
      <c r="AP25" s="68">
        <f>'RD T1'!E140</f>
        <v>134.54496206933055</v>
      </c>
      <c r="AQ25" s="68">
        <f t="shared" si="35"/>
        <v>157.80988977725374</v>
      </c>
      <c r="AS25" t="str">
        <f t="shared" si="36"/>
        <v>61 Caring personal service occupations</v>
      </c>
      <c r="AT25" s="68">
        <v>111.32069019222588</v>
      </c>
      <c r="AU25" s="68">
        <v>120.19450151899566</v>
      </c>
      <c r="AV25" s="68">
        <v>123.76261113808276</v>
      </c>
      <c r="AW25" s="68">
        <v>133.14054915280465</v>
      </c>
      <c r="AX25" s="68">
        <v>148.68493539792553</v>
      </c>
      <c r="AY25" s="68"/>
      <c r="AZ25" s="68">
        <f t="shared" si="37"/>
        <v>24.922324259842767</v>
      </c>
      <c r="BA25" s="68">
        <f>'RD T1'!E169</f>
        <v>83.17042823327661</v>
      </c>
      <c r="BB25" s="68">
        <f t="shared" si="38"/>
        <v>108.09275249311938</v>
      </c>
      <c r="BD25" t="str">
        <f t="shared" si="39"/>
        <v>61 Caring personal service occupations</v>
      </c>
      <c r="BE25" s="68">
        <v>666.70222652084647</v>
      </c>
      <c r="BF25" s="68">
        <v>741.26487837656634</v>
      </c>
      <c r="BG25" s="68">
        <v>734.54888757730043</v>
      </c>
      <c r="BH25" s="68">
        <v>819.50129720037194</v>
      </c>
      <c r="BI25" s="68">
        <v>943.4795553055053</v>
      </c>
      <c r="BJ25" s="68"/>
      <c r="BK25" s="68">
        <f t="shared" si="40"/>
        <v>208.93066772820487</v>
      </c>
      <c r="BL25" s="68">
        <f>'RD T1'!E198</f>
        <v>476.13718919132322</v>
      </c>
      <c r="BM25" s="68">
        <f t="shared" si="41"/>
        <v>685.06785691952814</v>
      </c>
      <c r="BO25" t="str">
        <f t="shared" si="42"/>
        <v>61 Caring personal service occupations</v>
      </c>
      <c r="BP25" s="68">
        <v>548.29498570949556</v>
      </c>
      <c r="BQ25" s="68">
        <v>542.5451534806283</v>
      </c>
      <c r="BR25" s="68">
        <v>490.50580362650487</v>
      </c>
      <c r="BS25" s="68">
        <v>490.45975342958184</v>
      </c>
      <c r="BT25" s="68">
        <v>395.78192855232595</v>
      </c>
      <c r="BU25" s="68"/>
      <c r="BV25" s="68">
        <f t="shared" si="43"/>
        <v>-94.72387507417892</v>
      </c>
      <c r="BW25" s="68">
        <f>'RD T1'!E227</f>
        <v>225.29899395109706</v>
      </c>
      <c r="BX25" s="68">
        <f t="shared" si="44"/>
        <v>130.57511887691814</v>
      </c>
      <c r="BZ25" t="str">
        <f t="shared" si="45"/>
        <v>61 Caring personal service occupations</v>
      </c>
      <c r="CA25" s="68">
        <v>163.7519057494741</v>
      </c>
      <c r="CB25" s="68">
        <v>97.691350253350379</v>
      </c>
      <c r="CC25" s="68">
        <v>82.538184406237548</v>
      </c>
      <c r="CD25" s="68">
        <v>61.0159865833201</v>
      </c>
      <c r="CE25" s="68">
        <v>51.183597910752212</v>
      </c>
      <c r="CF25" s="68"/>
      <c r="CG25" s="68">
        <f t="shared" si="46"/>
        <v>-31.354586495485336</v>
      </c>
      <c r="CH25" s="68">
        <f>'RD T1'!E256</f>
        <v>19.060094860397385</v>
      </c>
      <c r="CI25" s="68">
        <f t="shared" si="47"/>
        <v>-12.294491635087951</v>
      </c>
      <c r="CK25" t="str">
        <f t="shared" si="48"/>
        <v>61 Caring personal service occupations</v>
      </c>
      <c r="CL25" s="68">
        <v>26.277050774760948</v>
      </c>
      <c r="CM25" s="68">
        <v>22.460522848004292</v>
      </c>
      <c r="CN25" s="68">
        <v>19.919974063410258</v>
      </c>
      <c r="CO25" s="68">
        <v>21.705753235825707</v>
      </c>
      <c r="CP25" s="68">
        <v>21.7283752816972</v>
      </c>
      <c r="CQ25" s="68"/>
      <c r="CR25" s="68">
        <f t="shared" si="49"/>
        <v>1.8084012182869422</v>
      </c>
      <c r="CS25" s="68">
        <f>'RD T1'!E285</f>
        <v>6.066730996894278</v>
      </c>
      <c r="CT25" s="68">
        <f t="shared" si="50"/>
        <v>7.8751322151812202</v>
      </c>
    </row>
    <row r="26" spans="1:98" x14ac:dyDescent="0.3">
      <c r="A26" s="10" t="str">
        <f>name!D22</f>
        <v>62 Leisure, travel and related personal service occupations</v>
      </c>
      <c r="B26" s="68">
        <v>0.67924593688896762</v>
      </c>
      <c r="C26" s="68">
        <v>1.0324083537571984</v>
      </c>
      <c r="D26" s="68">
        <v>1.0612079734628244</v>
      </c>
      <c r="E26" s="68">
        <v>1.5152228108672079</v>
      </c>
      <c r="F26" s="68">
        <v>2.5093205811311332</v>
      </c>
      <c r="G26" s="11"/>
      <c r="H26" s="68">
        <f t="shared" si="51"/>
        <v>1.4481126076683088</v>
      </c>
      <c r="I26" s="68">
        <f>'RD T1'!E54</f>
        <v>0.99339518568499441</v>
      </c>
      <c r="J26" s="68">
        <f t="shared" si="26"/>
        <v>2.4415077933533031</v>
      </c>
      <c r="L26" t="str">
        <f t="shared" si="27"/>
        <v>62 Leisure, travel and related personal service occupations</v>
      </c>
      <c r="M26" s="68">
        <v>13.791677806253336</v>
      </c>
      <c r="N26" s="68">
        <v>18.39555012363838</v>
      </c>
      <c r="O26" s="68">
        <v>16.660588689211909</v>
      </c>
      <c r="P26" s="68">
        <v>23.002703564550878</v>
      </c>
      <c r="Q26" s="68">
        <v>37.26783524243114</v>
      </c>
      <c r="R26" s="11"/>
      <c r="S26" s="68">
        <f t="shared" si="28"/>
        <v>20.60724655321923</v>
      </c>
      <c r="T26" s="68">
        <f>'RD T1'!E83</f>
        <v>15.12403050841773</v>
      </c>
      <c r="U26" s="68">
        <f t="shared" si="29"/>
        <v>35.731277061636959</v>
      </c>
      <c r="W26" t="str">
        <f t="shared" si="30"/>
        <v>62 Leisure, travel and related personal service occupations</v>
      </c>
      <c r="X26" s="68">
        <v>61.252775911821324</v>
      </c>
      <c r="Y26" s="68">
        <v>74.835825276478971</v>
      </c>
      <c r="Z26" s="68">
        <v>71.146449123055973</v>
      </c>
      <c r="AA26" s="68">
        <v>87.323764254184852</v>
      </c>
      <c r="AB26" s="68">
        <v>118.73861121229693</v>
      </c>
      <c r="AC26" s="68"/>
      <c r="AD26" s="68">
        <f t="shared" si="31"/>
        <v>47.592162089240958</v>
      </c>
      <c r="AE26" s="68">
        <f>'RD T1'!E112</f>
        <v>59.160241947043346</v>
      </c>
      <c r="AF26" s="68">
        <f t="shared" si="32"/>
        <v>106.7524040362843</v>
      </c>
      <c r="AH26" t="str">
        <f t="shared" si="33"/>
        <v>62 Leisure, travel and related personal service occupations</v>
      </c>
      <c r="AI26" s="68">
        <v>36.988579307208411</v>
      </c>
      <c r="AJ26" s="68">
        <v>45.597457075526236</v>
      </c>
      <c r="AK26" s="68">
        <v>44.414140211633907</v>
      </c>
      <c r="AL26" s="68">
        <v>50.884344586031794</v>
      </c>
      <c r="AM26" s="68">
        <v>68.14802211979746</v>
      </c>
      <c r="AN26" s="68"/>
      <c r="AO26" s="68">
        <f t="shared" si="34"/>
        <v>23.733881908163553</v>
      </c>
      <c r="AP26" s="68">
        <f>'RD T1'!E141</f>
        <v>35.153670278519009</v>
      </c>
      <c r="AQ26" s="68">
        <f t="shared" si="35"/>
        <v>58.887552186682562</v>
      </c>
      <c r="AS26" t="str">
        <f t="shared" si="36"/>
        <v>62 Leisure, travel and related personal service occupations</v>
      </c>
      <c r="AT26" s="68">
        <v>43.126524696107062</v>
      </c>
      <c r="AU26" s="68">
        <v>53.921586853305762</v>
      </c>
      <c r="AV26" s="68">
        <v>56.645215019236922</v>
      </c>
      <c r="AW26" s="68">
        <v>67.158670087448371</v>
      </c>
      <c r="AX26" s="68">
        <v>94.202222363349733</v>
      </c>
      <c r="AY26" s="68"/>
      <c r="AZ26" s="68">
        <f t="shared" si="37"/>
        <v>37.557007344112812</v>
      </c>
      <c r="BA26" s="68">
        <f>'RD T1'!E170</f>
        <v>47.153169882773689</v>
      </c>
      <c r="BB26" s="68">
        <f t="shared" si="38"/>
        <v>84.710177226886501</v>
      </c>
      <c r="BD26" t="str">
        <f t="shared" si="39"/>
        <v>62 Leisure, travel and related personal service occupations</v>
      </c>
      <c r="BE26" s="68">
        <v>159.47843939616388</v>
      </c>
      <c r="BF26" s="68">
        <v>166.58318381073383</v>
      </c>
      <c r="BG26" s="68">
        <v>155.55545416998874</v>
      </c>
      <c r="BH26" s="68">
        <v>151.06245525416128</v>
      </c>
      <c r="BI26" s="68">
        <v>141.12474334825023</v>
      </c>
      <c r="BJ26" s="68"/>
      <c r="BK26" s="68">
        <f t="shared" si="40"/>
        <v>-14.430710821738501</v>
      </c>
      <c r="BL26" s="68">
        <f>'RD T1'!E199</f>
        <v>67.290727377788826</v>
      </c>
      <c r="BM26" s="68">
        <f t="shared" si="41"/>
        <v>52.860016556050326</v>
      </c>
      <c r="BO26" t="str">
        <f t="shared" si="42"/>
        <v>62 Leisure, travel and related personal service occupations</v>
      </c>
      <c r="BP26" s="68">
        <v>164.76168676477673</v>
      </c>
      <c r="BQ26" s="68">
        <v>169.15527951269954</v>
      </c>
      <c r="BR26" s="68">
        <v>148.92097969124384</v>
      </c>
      <c r="BS26" s="68">
        <v>135.36471484682403</v>
      </c>
      <c r="BT26" s="68">
        <v>106.31598854627681</v>
      </c>
      <c r="BU26" s="68"/>
      <c r="BV26" s="68">
        <f t="shared" si="43"/>
        <v>-42.60499114496703</v>
      </c>
      <c r="BW26" s="68">
        <f>'RD T1'!E228</f>
        <v>58.938640255141493</v>
      </c>
      <c r="BX26" s="68">
        <f t="shared" si="44"/>
        <v>16.333649110174463</v>
      </c>
      <c r="BZ26" t="str">
        <f t="shared" si="45"/>
        <v>62 Leisure, travel and related personal service occupations</v>
      </c>
      <c r="CA26" s="68">
        <v>104.70792647728173</v>
      </c>
      <c r="CB26" s="68">
        <v>112.41052887172854</v>
      </c>
      <c r="CC26" s="68">
        <v>98.802289183893222</v>
      </c>
      <c r="CD26" s="68">
        <v>96.423495501653861</v>
      </c>
      <c r="CE26" s="68">
        <v>74.933984093772096</v>
      </c>
      <c r="CF26" s="68"/>
      <c r="CG26" s="68">
        <f t="shared" si="46"/>
        <v>-23.868305090121126</v>
      </c>
      <c r="CH26" s="68">
        <f>'RD T1'!E257</f>
        <v>36.571886240109009</v>
      </c>
      <c r="CI26" s="68">
        <f t="shared" si="47"/>
        <v>12.703581149987883</v>
      </c>
      <c r="CK26" t="str">
        <f t="shared" si="48"/>
        <v>62 Leisure, travel and related personal service occupations</v>
      </c>
      <c r="CL26" s="68">
        <v>42.603050241405825</v>
      </c>
      <c r="CM26" s="68">
        <v>38.363606961207935</v>
      </c>
      <c r="CN26" s="68">
        <v>32.260649716163037</v>
      </c>
      <c r="CO26" s="68">
        <v>26.100858065874998</v>
      </c>
      <c r="CP26" s="68">
        <v>18.809186216092161</v>
      </c>
      <c r="CQ26" s="68"/>
      <c r="CR26" s="68">
        <f t="shared" si="49"/>
        <v>-13.451463500070876</v>
      </c>
      <c r="CS26" s="68">
        <f>'RD T1'!E286</f>
        <v>7.6344765957892111</v>
      </c>
      <c r="CT26" s="68">
        <f t="shared" si="50"/>
        <v>-5.8169869042816646</v>
      </c>
    </row>
    <row r="27" spans="1:98" x14ac:dyDescent="0.3">
      <c r="A27" s="10" t="str">
        <f>name!D23</f>
        <v>63 Community and civil enforcement occupations</v>
      </c>
      <c r="B27" s="68">
        <v>6.5002132938384583E-2</v>
      </c>
      <c r="C27" s="68">
        <v>7.1781570418431917E-2</v>
      </c>
      <c r="D27" s="68">
        <v>7.9224082411265662E-2</v>
      </c>
      <c r="E27" s="68">
        <v>0.1029403423388528</v>
      </c>
      <c r="F27" s="68">
        <v>0.16732085929252233</v>
      </c>
      <c r="G27" s="11"/>
      <c r="H27" s="68">
        <f t="shared" si="51"/>
        <v>8.8096776881256667E-2</v>
      </c>
      <c r="I27" s="68">
        <f>'RD T1'!E55</f>
        <v>6.8180156911820389E-2</v>
      </c>
      <c r="J27" s="68">
        <f t="shared" si="26"/>
        <v>0.15627693379307706</v>
      </c>
      <c r="L27" t="str">
        <f t="shared" si="27"/>
        <v>63 Community and civil enforcement occupations</v>
      </c>
      <c r="M27" s="68">
        <v>1.0963939096588164</v>
      </c>
      <c r="N27" s="68">
        <v>1.1380439689057116</v>
      </c>
      <c r="O27" s="68">
        <v>1.5491041558718208</v>
      </c>
      <c r="P27" s="68">
        <v>1.6677230331451793</v>
      </c>
      <c r="Q27" s="68">
        <v>2.8103101618810848</v>
      </c>
      <c r="R27" s="11"/>
      <c r="S27" s="68">
        <f t="shared" si="28"/>
        <v>1.261206006009264</v>
      </c>
      <c r="T27" s="68">
        <f>'RD T1'!E84</f>
        <v>1.1041646778108969</v>
      </c>
      <c r="U27" s="68">
        <f t="shared" si="29"/>
        <v>2.3653706838201609</v>
      </c>
      <c r="W27" t="str">
        <f t="shared" si="30"/>
        <v>63 Community and civil enforcement occupations</v>
      </c>
      <c r="X27" s="68">
        <v>4.7299096293797822</v>
      </c>
      <c r="Y27" s="68">
        <v>4.9079888646304077</v>
      </c>
      <c r="Z27" s="68">
        <v>5.6498337867502935</v>
      </c>
      <c r="AA27" s="68">
        <v>6.1367771825293866</v>
      </c>
      <c r="AB27" s="68">
        <v>7.58538153534864</v>
      </c>
      <c r="AC27" s="68"/>
      <c r="AD27" s="68">
        <f t="shared" si="31"/>
        <v>1.9355477485983466</v>
      </c>
      <c r="AE27" s="68">
        <f>'RD T1'!E113</f>
        <v>4.2685960039851629</v>
      </c>
      <c r="AF27" s="68">
        <f t="shared" si="32"/>
        <v>6.2041437525835095</v>
      </c>
      <c r="AH27" t="str">
        <f t="shared" si="33"/>
        <v>63 Community and civil enforcement occupations</v>
      </c>
      <c r="AI27" s="68">
        <v>1.3598953532265572</v>
      </c>
      <c r="AJ27" s="68">
        <v>1.2925887098919866</v>
      </c>
      <c r="AK27" s="68">
        <v>1.7505955230308261</v>
      </c>
      <c r="AL27" s="68">
        <v>1.5432699498018556</v>
      </c>
      <c r="AM27" s="68">
        <v>1.8913617405466989</v>
      </c>
      <c r="AN27" s="68"/>
      <c r="AO27" s="68">
        <f t="shared" si="34"/>
        <v>0.14076621751587282</v>
      </c>
      <c r="AP27" s="68">
        <f>'RD T1'!E142</f>
        <v>1.0041214927854001</v>
      </c>
      <c r="AQ27" s="68">
        <f t="shared" si="35"/>
        <v>1.1448877103012729</v>
      </c>
      <c r="AS27" t="str">
        <f t="shared" si="36"/>
        <v>63 Community and civil enforcement occupations</v>
      </c>
      <c r="AT27" s="68">
        <v>1.3478621658407404</v>
      </c>
      <c r="AU27" s="68">
        <v>1.1705910401584456</v>
      </c>
      <c r="AV27" s="68">
        <v>1.5135878152334137</v>
      </c>
      <c r="AW27" s="68">
        <v>1.2182864758914624</v>
      </c>
      <c r="AX27" s="68">
        <v>1.3093761044121714</v>
      </c>
      <c r="AY27" s="68"/>
      <c r="AZ27" s="68">
        <f t="shared" si="37"/>
        <v>-0.20421171082124223</v>
      </c>
      <c r="BA27" s="68">
        <f>'RD T1'!E171</f>
        <v>0.77119983106577816</v>
      </c>
      <c r="BB27" s="68">
        <f t="shared" si="38"/>
        <v>0.56698812024453593</v>
      </c>
      <c r="BD27" t="str">
        <f t="shared" si="39"/>
        <v>63 Community and civil enforcement occupations</v>
      </c>
      <c r="BE27" s="68">
        <v>5.0847142376319754</v>
      </c>
      <c r="BF27" s="68">
        <v>3.5662729739778878</v>
      </c>
      <c r="BG27" s="68">
        <v>5.2411389851054881</v>
      </c>
      <c r="BH27" s="68">
        <v>3.3750084426324762</v>
      </c>
      <c r="BI27" s="68">
        <v>3.5239036313502474</v>
      </c>
      <c r="BJ27" s="68"/>
      <c r="BK27" s="68">
        <f t="shared" si="40"/>
        <v>-1.7172353537552407</v>
      </c>
      <c r="BL27" s="68">
        <f>'RD T1'!E200</f>
        <v>1.3128659984141415</v>
      </c>
      <c r="BM27" s="68">
        <f t="shared" si="41"/>
        <v>-0.40436935534109919</v>
      </c>
      <c r="BO27" t="str">
        <f t="shared" si="42"/>
        <v>63 Community and civil enforcement occupations</v>
      </c>
      <c r="BP27" s="68">
        <v>7.088002639089285</v>
      </c>
      <c r="BQ27" s="68">
        <v>6.0649749995646927</v>
      </c>
      <c r="BR27" s="68">
        <v>7.6197575370777244</v>
      </c>
      <c r="BS27" s="68">
        <v>5.6154261993103498</v>
      </c>
      <c r="BT27" s="68">
        <v>5.3551318053538255</v>
      </c>
      <c r="BU27" s="68"/>
      <c r="BV27" s="68">
        <f t="shared" si="43"/>
        <v>-2.2646257317238989</v>
      </c>
      <c r="BW27" s="68">
        <f>'RD T1'!E229</f>
        <v>2.3695328273248264</v>
      </c>
      <c r="BX27" s="68">
        <f t="shared" si="44"/>
        <v>0.10490709560092748</v>
      </c>
      <c r="BZ27" t="str">
        <f t="shared" si="45"/>
        <v>63 Community and civil enforcement occupations</v>
      </c>
      <c r="CA27" s="68">
        <v>5.9870784883920098</v>
      </c>
      <c r="CB27" s="68">
        <v>5.2813824174591746</v>
      </c>
      <c r="CC27" s="68">
        <v>6.5506038369259194</v>
      </c>
      <c r="CD27" s="68">
        <v>5.186505913962927</v>
      </c>
      <c r="CE27" s="68">
        <v>4.5159676559390025</v>
      </c>
      <c r="CF27" s="68"/>
      <c r="CG27" s="68">
        <f t="shared" si="46"/>
        <v>-2.0346361809869169</v>
      </c>
      <c r="CH27" s="68">
        <f>'RD T1'!E258</f>
        <v>1.9857209012735879</v>
      </c>
      <c r="CI27" s="68">
        <f t="shared" si="47"/>
        <v>-4.8915279713328985E-2</v>
      </c>
      <c r="CK27" t="str">
        <f t="shared" si="48"/>
        <v>63 Community and civil enforcement occupations</v>
      </c>
      <c r="CL27" s="68">
        <v>2.0813660682261941</v>
      </c>
      <c r="CM27" s="68">
        <v>1.3817958351764101</v>
      </c>
      <c r="CN27" s="68">
        <v>1.788617686652638</v>
      </c>
      <c r="CO27" s="68">
        <v>0.92352212782225995</v>
      </c>
      <c r="CP27" s="68">
        <v>0.66073397212136031</v>
      </c>
      <c r="CQ27" s="68"/>
      <c r="CR27" s="68">
        <f t="shared" si="49"/>
        <v>-1.1278837145312777</v>
      </c>
      <c r="CS27" s="68">
        <f>'RD T1'!E287</f>
        <v>0.23381193709239484</v>
      </c>
      <c r="CT27" s="68">
        <f t="shared" si="50"/>
        <v>-0.89407177743888289</v>
      </c>
    </row>
    <row r="28" spans="1:98" x14ac:dyDescent="0.3">
      <c r="A28" s="10" t="str">
        <f>name!D24</f>
        <v>71 Sales occupations</v>
      </c>
      <c r="B28" s="68">
        <v>4.8088115697498441</v>
      </c>
      <c r="C28" s="68">
        <v>5.555071832182751</v>
      </c>
      <c r="D28" s="68">
        <v>4.9672291800846011</v>
      </c>
      <c r="E28" s="68">
        <v>6.2941955470374715</v>
      </c>
      <c r="F28" s="68">
        <v>9.1952011615562537</v>
      </c>
      <c r="G28" s="11"/>
      <c r="H28" s="68">
        <f t="shared" si="51"/>
        <v>4.2279719814716525</v>
      </c>
      <c r="I28" s="68">
        <f>'RD T1'!E56</f>
        <v>3.3400066782982831</v>
      </c>
      <c r="J28" s="68">
        <f t="shared" si="26"/>
        <v>7.5679786597699357</v>
      </c>
      <c r="L28" t="str">
        <f t="shared" si="27"/>
        <v>71 Sales occupations</v>
      </c>
      <c r="M28" s="68">
        <v>59.820931240334055</v>
      </c>
      <c r="N28" s="68">
        <v>72.340889731923838</v>
      </c>
      <c r="O28" s="68">
        <v>73.997740566399173</v>
      </c>
      <c r="P28" s="68">
        <v>96.887784163502261</v>
      </c>
      <c r="Q28" s="68">
        <v>161.3303972517264</v>
      </c>
      <c r="R28" s="11"/>
      <c r="S28" s="68">
        <f t="shared" si="28"/>
        <v>87.332656685327223</v>
      </c>
      <c r="T28" s="68">
        <f>'RD T1'!E85</f>
        <v>55.628769506612905</v>
      </c>
      <c r="U28" s="68">
        <f t="shared" si="29"/>
        <v>142.96142619194012</v>
      </c>
      <c r="W28" t="str">
        <f t="shared" si="30"/>
        <v>71 Sales occupations</v>
      </c>
      <c r="X28" s="68">
        <v>237.44054646423012</v>
      </c>
      <c r="Y28" s="68">
        <v>246.68239422415289</v>
      </c>
      <c r="Z28" s="68">
        <v>259.75143029010133</v>
      </c>
      <c r="AA28" s="68">
        <v>279.52545125459437</v>
      </c>
      <c r="AB28" s="68">
        <v>352.00037841839725</v>
      </c>
      <c r="AC28" s="68"/>
      <c r="AD28" s="68">
        <f t="shared" si="31"/>
        <v>92.248948128295922</v>
      </c>
      <c r="AE28" s="68">
        <f>'RD T1'!E114</f>
        <v>165.59804623885205</v>
      </c>
      <c r="AF28" s="68">
        <f t="shared" si="32"/>
        <v>257.846994367148</v>
      </c>
      <c r="AH28" t="str">
        <f t="shared" si="33"/>
        <v>71 Sales occupations</v>
      </c>
      <c r="AI28" s="68">
        <v>78.952036442966076</v>
      </c>
      <c r="AJ28" s="68">
        <v>78.468687650508727</v>
      </c>
      <c r="AK28" s="68">
        <v>84.109301338094326</v>
      </c>
      <c r="AL28" s="68">
        <v>85.758878987982015</v>
      </c>
      <c r="AM28" s="68">
        <v>104.94711361189231</v>
      </c>
      <c r="AN28" s="68"/>
      <c r="AO28" s="68">
        <f t="shared" si="34"/>
        <v>20.837812273797979</v>
      </c>
      <c r="AP28" s="68">
        <f>'RD T1'!E143</f>
        <v>51.196325626869118</v>
      </c>
      <c r="AQ28" s="68">
        <f t="shared" si="35"/>
        <v>72.034137900667105</v>
      </c>
      <c r="AS28" t="str">
        <f t="shared" si="36"/>
        <v>71 Sales occupations</v>
      </c>
      <c r="AT28" s="68">
        <v>68.011352067202353</v>
      </c>
      <c r="AU28" s="68">
        <v>65.261514307223393</v>
      </c>
      <c r="AV28" s="68">
        <v>67.910989796222367</v>
      </c>
      <c r="AW28" s="68">
        <v>66.874051134612316</v>
      </c>
      <c r="AX28" s="68">
        <v>78.709800721267939</v>
      </c>
      <c r="AY28" s="68"/>
      <c r="AZ28" s="68">
        <f t="shared" si="37"/>
        <v>10.798810925045572</v>
      </c>
      <c r="BA28" s="68">
        <f>'RD T1'!E172</f>
        <v>33.931908007069794</v>
      </c>
      <c r="BB28" s="68">
        <f t="shared" si="38"/>
        <v>44.730718932115366</v>
      </c>
      <c r="BD28" t="str">
        <f t="shared" si="39"/>
        <v>71 Sales occupations</v>
      </c>
      <c r="BE28" s="68">
        <v>493.08541258838119</v>
      </c>
      <c r="BF28" s="68">
        <v>480.88762455420897</v>
      </c>
      <c r="BG28" s="68">
        <v>495.33063249350482</v>
      </c>
      <c r="BH28" s="68">
        <v>471.58934775515706</v>
      </c>
      <c r="BI28" s="68">
        <v>483.17849193996238</v>
      </c>
      <c r="BJ28" s="68"/>
      <c r="BK28" s="68">
        <f t="shared" si="40"/>
        <v>-12.152140553542438</v>
      </c>
      <c r="BL28" s="68">
        <f>'RD T1'!E201</f>
        <v>216.50126381245826</v>
      </c>
      <c r="BM28" s="68">
        <f t="shared" si="41"/>
        <v>204.34912325891582</v>
      </c>
      <c r="BO28" t="str">
        <f t="shared" si="42"/>
        <v>71 Sales occupations</v>
      </c>
      <c r="BP28" s="68">
        <v>524.71064950499533</v>
      </c>
      <c r="BQ28" s="68">
        <v>475.82190511487966</v>
      </c>
      <c r="BR28" s="68">
        <v>447.41848732431663</v>
      </c>
      <c r="BS28" s="68">
        <v>391.12776099080429</v>
      </c>
      <c r="BT28" s="68">
        <v>304.90346382577962</v>
      </c>
      <c r="BU28" s="68"/>
      <c r="BV28" s="68">
        <f t="shared" si="43"/>
        <v>-142.515023498537</v>
      </c>
      <c r="BW28" s="68">
        <f>'RD T1'!E230</f>
        <v>168.87485004879139</v>
      </c>
      <c r="BX28" s="68">
        <f t="shared" si="44"/>
        <v>26.359826550254382</v>
      </c>
      <c r="BZ28" t="str">
        <f t="shared" si="45"/>
        <v>71 Sales occupations</v>
      </c>
      <c r="CA28" s="68">
        <v>360.82792108709958</v>
      </c>
      <c r="CB28" s="68">
        <v>335.17361797424314</v>
      </c>
      <c r="CC28" s="68">
        <v>306.33328574123635</v>
      </c>
      <c r="CD28" s="68">
        <v>245.18425998674331</v>
      </c>
      <c r="CE28" s="68">
        <v>96.378405977547629</v>
      </c>
      <c r="CF28" s="68"/>
      <c r="CG28" s="68">
        <f t="shared" si="46"/>
        <v>-209.95487976368872</v>
      </c>
      <c r="CH28" s="68">
        <f>'RD T1'!E259</f>
        <v>71.522998916417478</v>
      </c>
      <c r="CI28" s="68">
        <f t="shared" si="47"/>
        <v>-138.43188084727126</v>
      </c>
      <c r="CK28" t="str">
        <f t="shared" si="48"/>
        <v>71 Sales occupations</v>
      </c>
      <c r="CL28" s="68">
        <v>164.46127824739844</v>
      </c>
      <c r="CM28" s="68">
        <v>132.04128762716303</v>
      </c>
      <c r="CN28" s="68">
        <v>112.48762619804957</v>
      </c>
      <c r="CO28" s="68">
        <v>79.239354365371625</v>
      </c>
      <c r="CP28" s="68">
        <v>48.206067158836476</v>
      </c>
      <c r="CQ28" s="68"/>
      <c r="CR28" s="68">
        <f t="shared" si="49"/>
        <v>-64.281559039213093</v>
      </c>
      <c r="CS28" s="68">
        <f>'RD T1'!E288</f>
        <v>19.135549284340058</v>
      </c>
      <c r="CT28" s="68">
        <f t="shared" si="50"/>
        <v>-45.146009754873035</v>
      </c>
    </row>
    <row r="29" spans="1:98" x14ac:dyDescent="0.3">
      <c r="A29" s="10" t="str">
        <f>name!D25</f>
        <v>72 Customer service occupations</v>
      </c>
      <c r="B29" s="68">
        <v>1.614836525824942</v>
      </c>
      <c r="C29" s="68">
        <v>1.9845314908335983</v>
      </c>
      <c r="D29" s="68">
        <v>2.1830937583502994</v>
      </c>
      <c r="E29" s="68">
        <v>3.8168779781334425</v>
      </c>
      <c r="F29" s="68">
        <v>6.3846161615322865</v>
      </c>
      <c r="G29" s="11"/>
      <c r="H29" s="68">
        <f>F29-D29</f>
        <v>4.2015224031819871</v>
      </c>
      <c r="I29" s="68">
        <f>'RD T1'!E57</f>
        <v>2.0973250282719875</v>
      </c>
      <c r="J29" s="68">
        <f t="shared" si="26"/>
        <v>6.2988474314539751</v>
      </c>
      <c r="L29" t="str">
        <f t="shared" si="27"/>
        <v>72 Customer service occupations</v>
      </c>
      <c r="M29" s="68">
        <v>18.077936424425172</v>
      </c>
      <c r="N29" s="68">
        <v>24.20373303793615</v>
      </c>
      <c r="O29" s="68">
        <v>25.210169955404712</v>
      </c>
      <c r="P29" s="68">
        <v>42.865945268381736</v>
      </c>
      <c r="Q29" s="68">
        <v>69.765057663034852</v>
      </c>
      <c r="R29" s="11"/>
      <c r="S29" s="68">
        <f t="shared" si="28"/>
        <v>44.554887707630144</v>
      </c>
      <c r="T29" s="68">
        <f>'RD T1'!E86</f>
        <v>24.642482482738902</v>
      </c>
      <c r="U29" s="68">
        <f t="shared" si="29"/>
        <v>69.197370190369043</v>
      </c>
      <c r="W29" t="str">
        <f t="shared" si="30"/>
        <v>72 Customer service occupations</v>
      </c>
      <c r="X29" s="68">
        <v>73.095433582669258</v>
      </c>
      <c r="Y29" s="68">
        <v>82.000383741150173</v>
      </c>
      <c r="Z29" s="68">
        <v>89.460063459699242</v>
      </c>
      <c r="AA29" s="68">
        <v>123.22018172495066</v>
      </c>
      <c r="AB29" s="68">
        <v>162.51518059421974</v>
      </c>
      <c r="AC29" s="68"/>
      <c r="AD29" s="68">
        <f t="shared" si="31"/>
        <v>73.055117134520501</v>
      </c>
      <c r="AE29" s="68">
        <f>'RD T1'!E115</f>
        <v>68.594412012259056</v>
      </c>
      <c r="AF29" s="68">
        <f t="shared" si="32"/>
        <v>141.64952914677957</v>
      </c>
      <c r="AH29" t="str">
        <f t="shared" si="33"/>
        <v>72 Customer service occupations</v>
      </c>
      <c r="AI29" s="68">
        <v>21.639613341093021</v>
      </c>
      <c r="AJ29" s="68">
        <v>25.429435992330788</v>
      </c>
      <c r="AK29" s="68">
        <v>28.769532269541855</v>
      </c>
      <c r="AL29" s="68">
        <v>39.911061237234499</v>
      </c>
      <c r="AM29" s="68">
        <v>52.625269963496386</v>
      </c>
      <c r="AN29" s="68"/>
      <c r="AO29" s="68">
        <f t="shared" si="34"/>
        <v>23.855737693954531</v>
      </c>
      <c r="AP29" s="68">
        <f>'RD T1'!E144</f>
        <v>23.545530592903258</v>
      </c>
      <c r="AQ29" s="68">
        <f t="shared" si="35"/>
        <v>47.401268286857785</v>
      </c>
      <c r="AS29" t="str">
        <f t="shared" si="36"/>
        <v>72 Customer service occupations</v>
      </c>
      <c r="AT29" s="68">
        <v>31.227306601994965</v>
      </c>
      <c r="AU29" s="68">
        <v>34.112979486299366</v>
      </c>
      <c r="AV29" s="68">
        <v>35.826167067339711</v>
      </c>
      <c r="AW29" s="68">
        <v>47.71317122867265</v>
      </c>
      <c r="AX29" s="68">
        <v>56.892688182719255</v>
      </c>
      <c r="AY29" s="68"/>
      <c r="AZ29" s="68">
        <f t="shared" si="37"/>
        <v>21.066521115379544</v>
      </c>
      <c r="BA29" s="68">
        <f>'RD T1'!E173</f>
        <v>23.833214850801745</v>
      </c>
      <c r="BB29" s="68">
        <f t="shared" si="38"/>
        <v>44.899735966181289</v>
      </c>
      <c r="BD29" t="str">
        <f t="shared" si="39"/>
        <v>72 Customer service occupations</v>
      </c>
      <c r="BE29" s="68">
        <v>111.49345771365068</v>
      </c>
      <c r="BF29" s="68">
        <v>118.95495855957135</v>
      </c>
      <c r="BG29" s="68">
        <v>125.02202060585394</v>
      </c>
      <c r="BH29" s="68">
        <v>154.38049723079317</v>
      </c>
      <c r="BI29" s="68">
        <v>172.25373829477786</v>
      </c>
      <c r="BJ29" s="68"/>
      <c r="BK29" s="68">
        <f t="shared" si="40"/>
        <v>47.231717688923922</v>
      </c>
      <c r="BL29" s="68">
        <f>'RD T1'!E202</f>
        <v>67.630509915911048</v>
      </c>
      <c r="BM29" s="68">
        <f t="shared" si="41"/>
        <v>114.86222760483497</v>
      </c>
      <c r="BO29" t="str">
        <f t="shared" si="42"/>
        <v>72 Customer service occupations</v>
      </c>
      <c r="BP29" s="68">
        <v>120.43376373529527</v>
      </c>
      <c r="BQ29" s="68">
        <v>129.53199562481879</v>
      </c>
      <c r="BR29" s="68">
        <v>123.61311904453656</v>
      </c>
      <c r="BS29" s="68">
        <v>151.85851110325905</v>
      </c>
      <c r="BT29" s="68">
        <v>140.65683481939143</v>
      </c>
      <c r="BU29" s="68"/>
      <c r="BV29" s="68">
        <f t="shared" si="43"/>
        <v>17.043715774854874</v>
      </c>
      <c r="BW29" s="68">
        <f>'RD T1'!E231</f>
        <v>66.944069814962717</v>
      </c>
      <c r="BX29" s="68">
        <f t="shared" si="44"/>
        <v>83.987785589817591</v>
      </c>
      <c r="BZ29" t="str">
        <f t="shared" si="45"/>
        <v>72 Customer service occupations</v>
      </c>
      <c r="CA29" s="68">
        <v>63.391194664207276</v>
      </c>
      <c r="CB29" s="68">
        <v>61.337486208638879</v>
      </c>
      <c r="CC29" s="68">
        <v>59.496091571225016</v>
      </c>
      <c r="CD29" s="68">
        <v>64.469437019158406</v>
      </c>
      <c r="CE29" s="68">
        <v>56.518953989640821</v>
      </c>
      <c r="CF29" s="68"/>
      <c r="CG29" s="68">
        <f t="shared" si="46"/>
        <v>-2.9771375815841949</v>
      </c>
      <c r="CH29" s="68">
        <f>'RD T1'!E260</f>
        <v>20.02659811280132</v>
      </c>
      <c r="CI29" s="68">
        <f t="shared" si="47"/>
        <v>17.049460531217125</v>
      </c>
      <c r="CK29" t="str">
        <f t="shared" si="48"/>
        <v>72 Customer service occupations</v>
      </c>
      <c r="CL29" s="68">
        <v>18.622176469509796</v>
      </c>
      <c r="CM29" s="68">
        <v>21.273586897860735</v>
      </c>
      <c r="CN29" s="68">
        <v>20.446300974883034</v>
      </c>
      <c r="CO29" s="68">
        <v>28.423096189278994</v>
      </c>
      <c r="CP29" s="68">
        <v>32.33362706268052</v>
      </c>
      <c r="CQ29" s="68"/>
      <c r="CR29" s="68">
        <f t="shared" si="49"/>
        <v>11.887326087797486</v>
      </c>
      <c r="CS29" s="68">
        <f>'RD T1'!E289</f>
        <v>9.4613945921541944</v>
      </c>
      <c r="CT29" s="68">
        <f t="shared" si="50"/>
        <v>21.348720679951683</v>
      </c>
    </row>
    <row r="30" spans="1:98" x14ac:dyDescent="0.3">
      <c r="A30" s="10" t="str">
        <f>name!D26</f>
        <v>81 Process, plant and machine operatives</v>
      </c>
      <c r="B30" s="68">
        <v>1.2111702967533544</v>
      </c>
      <c r="C30" s="68">
        <v>1.610015227683576</v>
      </c>
      <c r="D30" s="68">
        <v>1.3629367616863914</v>
      </c>
      <c r="E30" s="68">
        <v>2.4464065588131652</v>
      </c>
      <c r="F30" s="68">
        <v>4.9784627022702095</v>
      </c>
      <c r="G30" s="11"/>
      <c r="H30" s="68">
        <f t="shared" si="51"/>
        <v>3.6155259405838178</v>
      </c>
      <c r="I30" s="68">
        <f>'RD T1'!E58</f>
        <v>1.6407883650540658</v>
      </c>
      <c r="J30" s="68">
        <f t="shared" si="26"/>
        <v>5.2563143056378836</v>
      </c>
      <c r="L30" t="str">
        <f t="shared" si="27"/>
        <v>81 Process, plant and machine operatives</v>
      </c>
      <c r="M30" s="68">
        <v>8.1975338644884861</v>
      </c>
      <c r="N30" s="68">
        <v>10.829600604830935</v>
      </c>
      <c r="O30" s="68">
        <v>9.5903367388609357</v>
      </c>
      <c r="P30" s="68">
        <v>17.216616554897257</v>
      </c>
      <c r="Q30" s="68">
        <v>32.101324615080252</v>
      </c>
      <c r="R30" s="11"/>
      <c r="S30" s="68">
        <f t="shared" si="28"/>
        <v>22.510987876219318</v>
      </c>
      <c r="T30" s="68">
        <f>'RD T1'!E87</f>
        <v>10.643112568285281</v>
      </c>
      <c r="U30" s="68">
        <f t="shared" si="29"/>
        <v>33.1541004445046</v>
      </c>
      <c r="W30" t="str">
        <f t="shared" si="30"/>
        <v>81 Process, plant and machine operatives</v>
      </c>
      <c r="X30" s="68">
        <v>24.759313576389282</v>
      </c>
      <c r="Y30" s="68">
        <v>25.167540999732893</v>
      </c>
      <c r="Z30" s="68">
        <v>23.691286304014007</v>
      </c>
      <c r="AA30" s="68">
        <v>38.120185790826092</v>
      </c>
      <c r="AB30" s="68">
        <v>63.958510747649207</v>
      </c>
      <c r="AC30" s="68"/>
      <c r="AD30" s="68">
        <f t="shared" si="31"/>
        <v>40.2672244436352</v>
      </c>
      <c r="AE30" s="68">
        <f>'RD T1'!E116</f>
        <v>23.542409183279563</v>
      </c>
      <c r="AF30" s="68">
        <f t="shared" si="32"/>
        <v>63.80963362691476</v>
      </c>
      <c r="AH30" t="str">
        <f t="shared" si="33"/>
        <v>81 Process, plant and machine operatives</v>
      </c>
      <c r="AI30" s="68">
        <v>10.982189377693413</v>
      </c>
      <c r="AJ30" s="68">
        <v>11.324928031533009</v>
      </c>
      <c r="AK30" s="68">
        <v>11.067972891208601</v>
      </c>
      <c r="AL30" s="68">
        <v>16.964869653042978</v>
      </c>
      <c r="AM30" s="68">
        <v>25.614843096579371</v>
      </c>
      <c r="AN30" s="68"/>
      <c r="AO30" s="68">
        <f t="shared" si="34"/>
        <v>14.546870205370769</v>
      </c>
      <c r="AP30" s="68">
        <f>'RD T1'!E145</f>
        <v>9.3010751477535969</v>
      </c>
      <c r="AQ30" s="68">
        <f t="shared" si="35"/>
        <v>23.847945353124366</v>
      </c>
      <c r="AS30" t="str">
        <f t="shared" si="36"/>
        <v>81 Process, plant and machine operatives</v>
      </c>
      <c r="AT30" s="68">
        <v>24.530180429178671</v>
      </c>
      <c r="AU30" s="68">
        <v>24.79041176792115</v>
      </c>
      <c r="AV30" s="68">
        <v>23.782816749732536</v>
      </c>
      <c r="AW30" s="68">
        <v>34.966538290799818</v>
      </c>
      <c r="AX30" s="68">
        <v>48.203722241832544</v>
      </c>
      <c r="AY30" s="68"/>
      <c r="AZ30" s="68">
        <f t="shared" si="37"/>
        <v>24.420905492100008</v>
      </c>
      <c r="BA30" s="68">
        <f>'RD T1'!E174</f>
        <v>18.553655833608232</v>
      </c>
      <c r="BB30" s="68">
        <f t="shared" si="38"/>
        <v>42.974561325708237</v>
      </c>
      <c r="BD30" t="str">
        <f t="shared" si="39"/>
        <v>81 Process, plant and machine operatives</v>
      </c>
      <c r="BE30" s="68">
        <v>159.84121064139447</v>
      </c>
      <c r="BF30" s="68">
        <v>164.8481822157969</v>
      </c>
      <c r="BG30" s="68">
        <v>150.35092239301665</v>
      </c>
      <c r="BH30" s="68">
        <v>197.69873327681384</v>
      </c>
      <c r="BI30" s="68">
        <v>226.87720155390244</v>
      </c>
      <c r="BJ30" s="68"/>
      <c r="BK30" s="68">
        <f t="shared" si="40"/>
        <v>76.526279160885792</v>
      </c>
      <c r="BL30" s="68">
        <f>'RD T1'!E203</f>
        <v>74.382902217095491</v>
      </c>
      <c r="BM30" s="68">
        <f t="shared" si="41"/>
        <v>150.90918137798127</v>
      </c>
      <c r="BO30" t="str">
        <f t="shared" si="42"/>
        <v>81 Process, plant and machine operatives</v>
      </c>
      <c r="BP30" s="68">
        <v>210.23779026956404</v>
      </c>
      <c r="BQ30" s="68">
        <v>211.35895323033972</v>
      </c>
      <c r="BR30" s="68">
        <v>185.08155127611423</v>
      </c>
      <c r="BS30" s="68">
        <v>233.59204899590893</v>
      </c>
      <c r="BT30" s="68">
        <v>226.62150541188666</v>
      </c>
      <c r="BU30" s="68"/>
      <c r="BV30" s="68">
        <f t="shared" si="43"/>
        <v>41.539954135772433</v>
      </c>
      <c r="BW30" s="68">
        <f>'RD T1'!E232</f>
        <v>89.960195018771429</v>
      </c>
      <c r="BX30" s="68">
        <f t="shared" si="44"/>
        <v>131.50014915454386</v>
      </c>
      <c r="BZ30" t="str">
        <f t="shared" si="45"/>
        <v>81 Process, plant and machine operatives</v>
      </c>
      <c r="CA30" s="68">
        <v>181.27885676935981</v>
      </c>
      <c r="CB30" s="68">
        <v>170.25805321835185</v>
      </c>
      <c r="CC30" s="68">
        <v>143.68211863903088</v>
      </c>
      <c r="CD30" s="68">
        <v>155.91818428810606</v>
      </c>
      <c r="CE30" s="68">
        <v>72.277047159593309</v>
      </c>
      <c r="CF30" s="68"/>
      <c r="CG30" s="68">
        <f t="shared" si="46"/>
        <v>-71.405071479437566</v>
      </c>
      <c r="CH30" s="68">
        <f>'RD T1'!E261</f>
        <v>44.488076824209507</v>
      </c>
      <c r="CI30" s="68">
        <f t="shared" si="47"/>
        <v>-26.916994655228059</v>
      </c>
      <c r="CK30" t="str">
        <f t="shared" si="48"/>
        <v>81 Process, plant and machine operatives</v>
      </c>
      <c r="CL30" s="68">
        <v>92.275085083428067</v>
      </c>
      <c r="CM30" s="68">
        <v>71.532957360762907</v>
      </c>
      <c r="CN30" s="68">
        <v>58.671951906831424</v>
      </c>
      <c r="CO30" s="68">
        <v>34.094438197633906</v>
      </c>
      <c r="CP30" s="68">
        <v>15.758752644617079</v>
      </c>
      <c r="CQ30" s="68"/>
      <c r="CR30" s="68">
        <f t="shared" si="49"/>
        <v>-42.913199262214349</v>
      </c>
      <c r="CS30" s="68">
        <f>'RD T1'!E290</f>
        <v>7.814172057993563</v>
      </c>
      <c r="CT30" s="68">
        <f t="shared" si="50"/>
        <v>-35.099027204220789</v>
      </c>
    </row>
    <row r="31" spans="1:98" x14ac:dyDescent="0.3">
      <c r="A31" s="10" t="str">
        <f>name!D27</f>
        <v>82 Transport and mobile machine drivers and operatives</v>
      </c>
      <c r="B31" s="68">
        <v>2.2653209800651219</v>
      </c>
      <c r="C31" s="68">
        <v>3.4465856637749974</v>
      </c>
      <c r="D31" s="68">
        <v>3.2117085434088777</v>
      </c>
      <c r="E31" s="68">
        <v>5.5868335208854063</v>
      </c>
      <c r="F31" s="68">
        <v>9.9638966737141601</v>
      </c>
      <c r="G31" s="11"/>
      <c r="H31" s="68">
        <f t="shared" si="51"/>
        <v>6.7521881303052824</v>
      </c>
      <c r="I31" s="68">
        <f>'RD T1'!E59</f>
        <v>4.4271722064742312</v>
      </c>
      <c r="J31" s="68">
        <f t="shared" si="26"/>
        <v>11.179360336779514</v>
      </c>
      <c r="L31" t="str">
        <f t="shared" si="27"/>
        <v>82 Transport and mobile machine drivers and operatives</v>
      </c>
      <c r="M31" s="68">
        <v>15.411135928464301</v>
      </c>
      <c r="N31" s="68">
        <v>22.460220019099101</v>
      </c>
      <c r="O31" s="68">
        <v>21.854583367274181</v>
      </c>
      <c r="P31" s="68">
        <v>33.857417662436163</v>
      </c>
      <c r="Q31" s="68">
        <v>58.826874655607384</v>
      </c>
      <c r="R31" s="11"/>
      <c r="S31" s="68">
        <f t="shared" si="28"/>
        <v>36.972291288333203</v>
      </c>
      <c r="T31" s="68">
        <f>'RD T1'!E88</f>
        <v>26.141578299964419</v>
      </c>
      <c r="U31" s="68">
        <f t="shared" si="29"/>
        <v>63.113869588297618</v>
      </c>
      <c r="W31" t="str">
        <f t="shared" si="30"/>
        <v>82 Transport and mobile machine drivers and operatives</v>
      </c>
      <c r="X31" s="68">
        <v>46.727605026341664</v>
      </c>
      <c r="Y31" s="68">
        <v>59.430882536445331</v>
      </c>
      <c r="Z31" s="68">
        <v>59.435814813232163</v>
      </c>
      <c r="AA31" s="68">
        <v>74.189488269433156</v>
      </c>
      <c r="AB31" s="68">
        <v>99.778227133515472</v>
      </c>
      <c r="AC31" s="68"/>
      <c r="AD31" s="68">
        <f t="shared" si="31"/>
        <v>40.342412320283309</v>
      </c>
      <c r="AE31" s="68">
        <f>'RD T1'!E117</f>
        <v>55.246555405999267</v>
      </c>
      <c r="AF31" s="68">
        <f t="shared" si="32"/>
        <v>95.588967726282576</v>
      </c>
      <c r="AH31" t="str">
        <f t="shared" si="33"/>
        <v>82 Transport and mobile machine drivers and operatives</v>
      </c>
      <c r="AI31" s="68">
        <v>21.784674277805038</v>
      </c>
      <c r="AJ31" s="68">
        <v>27.963187835032969</v>
      </c>
      <c r="AK31" s="68">
        <v>28.255317739483925</v>
      </c>
      <c r="AL31" s="68">
        <v>35.556956618352345</v>
      </c>
      <c r="AM31" s="68">
        <v>45.519670224336522</v>
      </c>
      <c r="AN31" s="68"/>
      <c r="AO31" s="68">
        <f t="shared" si="34"/>
        <v>17.264352484852598</v>
      </c>
      <c r="AP31" s="68">
        <f>'RD T1'!E146</f>
        <v>25.437407984416868</v>
      </c>
      <c r="AQ31" s="68">
        <f t="shared" si="35"/>
        <v>42.701760469269466</v>
      </c>
      <c r="AS31" t="str">
        <f t="shared" si="36"/>
        <v>82 Transport and mobile machine drivers and operatives</v>
      </c>
      <c r="AT31" s="68">
        <v>36.939607617817146</v>
      </c>
      <c r="AU31" s="68">
        <v>44.176509564300396</v>
      </c>
      <c r="AV31" s="68">
        <v>44.818084195127589</v>
      </c>
      <c r="AW31" s="68">
        <v>54.889803586843556</v>
      </c>
      <c r="AX31" s="68">
        <v>68.317918645926383</v>
      </c>
      <c r="AY31" s="68"/>
      <c r="AZ31" s="68">
        <f t="shared" si="37"/>
        <v>23.499834450798794</v>
      </c>
      <c r="BA31" s="68">
        <f>'RD T1'!E175</f>
        <v>39.659173571870475</v>
      </c>
      <c r="BB31" s="68">
        <f t="shared" si="38"/>
        <v>63.159008022669269</v>
      </c>
      <c r="BD31" t="str">
        <f t="shared" si="39"/>
        <v>82 Transport and mobile machine drivers and operatives</v>
      </c>
      <c r="BE31" s="68">
        <v>199.01406488572928</v>
      </c>
      <c r="BF31" s="68">
        <v>224.68937943343656</v>
      </c>
      <c r="BG31" s="68">
        <v>214.25788601184234</v>
      </c>
      <c r="BH31" s="68">
        <v>239.09758095042409</v>
      </c>
      <c r="BI31" s="68">
        <v>263.8147104688735</v>
      </c>
      <c r="BJ31" s="68"/>
      <c r="BK31" s="68">
        <f t="shared" si="40"/>
        <v>49.556824457031155</v>
      </c>
      <c r="BL31" s="68">
        <f>'RD T1'!E204</f>
        <v>123.38091801520814</v>
      </c>
      <c r="BM31" s="68">
        <f t="shared" si="41"/>
        <v>172.93774247223928</v>
      </c>
      <c r="BO31" t="str">
        <f t="shared" si="42"/>
        <v>82 Transport and mobile machine drivers and operatives</v>
      </c>
      <c r="BP31" s="68">
        <v>308.42733235381479</v>
      </c>
      <c r="BQ31" s="68">
        <v>354.15918357655124</v>
      </c>
      <c r="BR31" s="68">
        <v>307.89564591149946</v>
      </c>
      <c r="BS31" s="68">
        <v>342.37886060152499</v>
      </c>
      <c r="BT31" s="68">
        <v>339.40375367358001</v>
      </c>
      <c r="BU31" s="68"/>
      <c r="BV31" s="68">
        <f t="shared" si="43"/>
        <v>31.508107762080556</v>
      </c>
      <c r="BW31" s="68">
        <f>'RD T1'!E233</f>
        <v>181.09862511858938</v>
      </c>
      <c r="BX31" s="68">
        <f t="shared" si="44"/>
        <v>212.60673288066994</v>
      </c>
      <c r="BZ31" t="str">
        <f t="shared" si="45"/>
        <v>82 Transport and mobile machine drivers and operatives</v>
      </c>
      <c r="CA31" s="68">
        <v>294.18467763629116</v>
      </c>
      <c r="CB31" s="68">
        <v>302.68872018260197</v>
      </c>
      <c r="CC31" s="68">
        <v>258.44996807258138</v>
      </c>
      <c r="CD31" s="68">
        <v>251.53613500753789</v>
      </c>
      <c r="CE31" s="68">
        <v>194.48486126693274</v>
      </c>
      <c r="CF31" s="68"/>
      <c r="CG31" s="68">
        <f t="shared" si="46"/>
        <v>-63.965106805648645</v>
      </c>
      <c r="CH31" s="68">
        <f>'RD T1'!E262</f>
        <v>105.45494569551178</v>
      </c>
      <c r="CI31" s="68">
        <f t="shared" si="47"/>
        <v>41.489838889863137</v>
      </c>
      <c r="CK31" t="str">
        <f t="shared" si="48"/>
        <v>82 Transport and mobile machine drivers and operatives</v>
      </c>
      <c r="CL31" s="68">
        <v>129.25795534954369</v>
      </c>
      <c r="CM31" s="68">
        <v>139.81277242002332</v>
      </c>
      <c r="CN31" s="68">
        <v>116.67664197955634</v>
      </c>
      <c r="CO31" s="68">
        <v>99.820871210516245</v>
      </c>
      <c r="CP31" s="68">
        <v>55.58598753652587</v>
      </c>
      <c r="CQ31" s="68"/>
      <c r="CR31" s="68">
        <f t="shared" si="49"/>
        <v>-61.090654443030466</v>
      </c>
      <c r="CS31" s="68">
        <f>'RD T1'!E291</f>
        <v>33.806283780971697</v>
      </c>
      <c r="CT31" s="68">
        <f t="shared" si="50"/>
        <v>-27.28437066205877</v>
      </c>
    </row>
    <row r="32" spans="1:98" x14ac:dyDescent="0.3">
      <c r="A32" s="10" t="str">
        <f>name!D28</f>
        <v>91 Elementary trades and related occupations</v>
      </c>
      <c r="B32" s="68">
        <v>2.2556965149247706E-2</v>
      </c>
      <c r="C32" s="68">
        <v>2.1871422308781214E-2</v>
      </c>
      <c r="D32" s="68">
        <v>2.05621386959495E-2</v>
      </c>
      <c r="E32" s="68">
        <v>2.362378243485826E-2</v>
      </c>
      <c r="F32" s="68">
        <v>3.862580254251801E-2</v>
      </c>
      <c r="G32" s="11"/>
      <c r="H32" s="68">
        <f t="shared" si="51"/>
        <v>1.806366384656851E-2</v>
      </c>
      <c r="I32" s="68">
        <f>'RD T1'!E60</f>
        <v>1.5998879892095415E-2</v>
      </c>
      <c r="J32" s="68">
        <f t="shared" si="26"/>
        <v>3.4062543738663922E-2</v>
      </c>
      <c r="L32" t="str">
        <f t="shared" si="27"/>
        <v>91 Elementary trades and related occupations</v>
      </c>
      <c r="M32" s="68">
        <v>4.9737449008261763</v>
      </c>
      <c r="N32" s="68">
        <v>6.0172226310845707</v>
      </c>
      <c r="O32" s="68">
        <v>4.9949778516643741</v>
      </c>
      <c r="P32" s="68">
        <v>6.4286304044045064</v>
      </c>
      <c r="Q32" s="68">
        <v>10.776444331218608</v>
      </c>
      <c r="R32" s="11"/>
      <c r="S32" s="68">
        <f t="shared" si="28"/>
        <v>5.7814664795542337</v>
      </c>
      <c r="T32" s="68">
        <f>'RD T1'!E89</f>
        <v>3.8649729946682099</v>
      </c>
      <c r="U32" s="68">
        <f t="shared" si="29"/>
        <v>9.6464394742224435</v>
      </c>
      <c r="W32" t="str">
        <f t="shared" si="30"/>
        <v>91 Elementary trades and related occupations</v>
      </c>
      <c r="X32" s="68">
        <v>18.580836249852197</v>
      </c>
      <c r="Y32" s="68">
        <v>18.571228046413403</v>
      </c>
      <c r="Z32" s="68">
        <v>17.011527991612063</v>
      </c>
      <c r="AA32" s="68">
        <v>16.530590800935748</v>
      </c>
      <c r="AB32" s="68">
        <v>19.247927995105687</v>
      </c>
      <c r="AC32" s="68"/>
      <c r="AD32" s="68">
        <f t="shared" si="31"/>
        <v>2.2364000034936247</v>
      </c>
      <c r="AE32" s="68">
        <f>'RD T1'!E118</f>
        <v>10.367697997905095</v>
      </c>
      <c r="AF32" s="68">
        <f t="shared" si="32"/>
        <v>12.60409800139872</v>
      </c>
      <c r="AH32" t="str">
        <f t="shared" si="33"/>
        <v>91 Elementary trades and related occupations</v>
      </c>
      <c r="AI32" s="68">
        <v>12.50406951961077</v>
      </c>
      <c r="AJ32" s="68">
        <v>12.677345088093645</v>
      </c>
      <c r="AK32" s="68">
        <v>11.42274635611418</v>
      </c>
      <c r="AL32" s="68">
        <v>11.4618611333969</v>
      </c>
      <c r="AM32" s="68">
        <v>14.711895813538701</v>
      </c>
      <c r="AN32" s="68"/>
      <c r="AO32" s="68">
        <f t="shared" si="34"/>
        <v>3.2891494574245215</v>
      </c>
      <c r="AP32" s="68">
        <f>'RD T1'!E147</f>
        <v>7.3053985597763482</v>
      </c>
      <c r="AQ32" s="68">
        <f t="shared" si="35"/>
        <v>10.59454801720087</v>
      </c>
      <c r="AS32" t="str">
        <f t="shared" si="36"/>
        <v>91 Elementary trades and related occupations</v>
      </c>
      <c r="AT32" s="68">
        <v>14.059327740829927</v>
      </c>
      <c r="AU32" s="68">
        <v>13.741352238997793</v>
      </c>
      <c r="AV32" s="68">
        <v>14.056815712274055</v>
      </c>
      <c r="AW32" s="68">
        <v>13.603829917622582</v>
      </c>
      <c r="AX32" s="68">
        <v>15.803629119186537</v>
      </c>
      <c r="AY32" s="68"/>
      <c r="AZ32" s="68">
        <f t="shared" si="37"/>
        <v>1.7468134069124819</v>
      </c>
      <c r="BA32" s="68">
        <f>'RD T1'!E176</f>
        <v>7.4704134235538397</v>
      </c>
      <c r="BB32" s="68">
        <f t="shared" si="38"/>
        <v>9.2172268304663216</v>
      </c>
      <c r="BD32" t="str">
        <f t="shared" si="39"/>
        <v>91 Elementary trades and related occupations</v>
      </c>
      <c r="BE32" s="68">
        <v>72.229719393684107</v>
      </c>
      <c r="BF32" s="68">
        <v>65.367040445922299</v>
      </c>
      <c r="BG32" s="68">
        <v>61.061791005665413</v>
      </c>
      <c r="BH32" s="68">
        <v>57.140230736821415</v>
      </c>
      <c r="BI32" s="68">
        <v>65.82190093511305</v>
      </c>
      <c r="BJ32" s="68"/>
      <c r="BK32" s="68">
        <f t="shared" si="40"/>
        <v>4.760109929447637</v>
      </c>
      <c r="BL32" s="68">
        <f>'RD T1'!E205</f>
        <v>21.618115439394412</v>
      </c>
      <c r="BM32" s="68">
        <f t="shared" si="41"/>
        <v>26.378225368842049</v>
      </c>
      <c r="BO32" t="str">
        <f t="shared" si="42"/>
        <v>91 Elementary trades and related occupations</v>
      </c>
      <c r="BP32" s="68">
        <v>122.24507225857327</v>
      </c>
      <c r="BQ32" s="68">
        <v>108.92379733520241</v>
      </c>
      <c r="BR32" s="68">
        <v>97.703342980777961</v>
      </c>
      <c r="BS32" s="68">
        <v>82.137560710389138</v>
      </c>
      <c r="BT32" s="68">
        <v>77.174639500807615</v>
      </c>
      <c r="BU32" s="68"/>
      <c r="BV32" s="68">
        <f t="shared" si="43"/>
        <v>-20.528703479970346</v>
      </c>
      <c r="BW32" s="68">
        <f>'RD T1'!E234</f>
        <v>30.596469997024812</v>
      </c>
      <c r="BX32" s="68">
        <f t="shared" si="44"/>
        <v>10.067766517054466</v>
      </c>
      <c r="BZ32" t="str">
        <f t="shared" si="45"/>
        <v>91 Elementary trades and related occupations</v>
      </c>
      <c r="CA32" s="68">
        <v>153.60964663593577</v>
      </c>
      <c r="CB32" s="68">
        <v>137.70165564218428</v>
      </c>
      <c r="CC32" s="68">
        <v>118.12468614136257</v>
      </c>
      <c r="CD32" s="68">
        <v>92.770758828444613</v>
      </c>
      <c r="CE32" s="68">
        <v>72.120933507534644</v>
      </c>
      <c r="CF32" s="68"/>
      <c r="CG32" s="68">
        <f t="shared" si="46"/>
        <v>-46.003752633827929</v>
      </c>
      <c r="CH32" s="68">
        <f>'RD T1'!E263</f>
        <v>33.101633654754885</v>
      </c>
      <c r="CI32" s="68">
        <f t="shared" si="47"/>
        <v>-12.902118979073045</v>
      </c>
      <c r="CK32" t="str">
        <f t="shared" si="48"/>
        <v>91 Elementary trades and related occupations</v>
      </c>
      <c r="CL32" s="68">
        <v>77.683859440882131</v>
      </c>
      <c r="CM32" s="68">
        <v>65.528958232248797</v>
      </c>
      <c r="CN32" s="68">
        <v>56.955761840562467</v>
      </c>
      <c r="CO32" s="68">
        <v>41.307384581689533</v>
      </c>
      <c r="CP32" s="68">
        <v>29.527203561163361</v>
      </c>
      <c r="CQ32" s="68"/>
      <c r="CR32" s="68">
        <f t="shared" si="49"/>
        <v>-27.428558279399105</v>
      </c>
      <c r="CS32" s="68">
        <f>'RD T1'!E292</f>
        <v>11.797798497085694</v>
      </c>
      <c r="CT32" s="68">
        <f t="shared" si="50"/>
        <v>-15.630759782313412</v>
      </c>
    </row>
    <row r="33" spans="1:98" x14ac:dyDescent="0.3">
      <c r="A33" s="10" t="str">
        <f>name!D29</f>
        <v>92 Elementary administration and service occupations</v>
      </c>
      <c r="B33" s="68">
        <v>1.8334795860109512</v>
      </c>
      <c r="C33" s="68">
        <v>2.3438529524261908</v>
      </c>
      <c r="D33" s="68">
        <v>2.3153835995531971</v>
      </c>
      <c r="E33" s="68">
        <v>3.4176875556197506</v>
      </c>
      <c r="F33" s="68">
        <v>5.2876586184244223</v>
      </c>
      <c r="G33" s="11"/>
      <c r="H33" s="68">
        <f t="shared" ref="H33" si="52">F33-D33</f>
        <v>2.9722750188712252</v>
      </c>
      <c r="I33" s="68">
        <f>'RD T1'!E61</f>
        <v>2.2183513047886927</v>
      </c>
      <c r="J33" s="68">
        <f>SUM(H33:I33)</f>
        <v>5.1906263236599184</v>
      </c>
      <c r="L33" t="str">
        <f t="shared" ref="L33" si="53">A33</f>
        <v>92 Elementary administration and service occupations</v>
      </c>
      <c r="M33" s="68">
        <v>53.221165512753316</v>
      </c>
      <c r="N33" s="68">
        <v>74.036234285147145</v>
      </c>
      <c r="O33" s="68">
        <v>76.673813160893658</v>
      </c>
      <c r="P33" s="68">
        <v>118.08728719279458</v>
      </c>
      <c r="Q33" s="68">
        <v>218.02337305379342</v>
      </c>
      <c r="R33" s="11"/>
      <c r="S33" s="68">
        <f t="shared" ref="S33" si="54">Q33-O33</f>
        <v>141.34955989289978</v>
      </c>
      <c r="T33" s="68">
        <f>'RD T1'!E90</f>
        <v>85.096079799799725</v>
      </c>
      <c r="U33" s="68">
        <f t="shared" ref="U33" si="55">SUM(S33:T33)</f>
        <v>226.4456396926995</v>
      </c>
      <c r="W33" t="str">
        <f t="shared" ref="W33" si="56">A33</f>
        <v>92 Elementary administration and service occupations</v>
      </c>
      <c r="X33" s="68">
        <v>189.97630370246483</v>
      </c>
      <c r="Y33" s="68">
        <v>225.39719638166605</v>
      </c>
      <c r="Z33" s="68">
        <v>233.43367381882743</v>
      </c>
      <c r="AA33" s="68">
        <v>281.52136454847937</v>
      </c>
      <c r="AB33" s="68">
        <v>369.00176872412516</v>
      </c>
      <c r="AC33" s="68"/>
      <c r="AD33" s="68">
        <f t="shared" ref="AD33" si="57">AB33-Z33</f>
        <v>135.56809490529773</v>
      </c>
      <c r="AE33" s="68">
        <f>'RD T1'!E119</f>
        <v>197.91009621148464</v>
      </c>
      <c r="AF33" s="68">
        <f t="shared" ref="AF33" si="58">SUM(AD33:AE33)</f>
        <v>333.47819111678234</v>
      </c>
      <c r="AH33" t="str">
        <f t="shared" ref="AH33" si="59">L33</f>
        <v>92 Elementary administration and service occupations</v>
      </c>
      <c r="AI33" s="68">
        <v>89.652964930242547</v>
      </c>
      <c r="AJ33" s="68">
        <v>107.09497250139223</v>
      </c>
      <c r="AK33" s="68">
        <v>112.34434150796795</v>
      </c>
      <c r="AL33" s="68">
        <v>133.33557299229309</v>
      </c>
      <c r="AM33" s="68">
        <v>177.95600495650157</v>
      </c>
      <c r="AN33" s="68"/>
      <c r="AO33" s="68">
        <f t="shared" ref="AO33" si="60">AM33-AK33</f>
        <v>65.611663448533619</v>
      </c>
      <c r="AP33" s="68">
        <f>'RD T1'!E148</f>
        <v>90.365251004681099</v>
      </c>
      <c r="AQ33" s="68">
        <f t="shared" ref="AQ33" si="61">SUM(AO33:AP33)</f>
        <v>155.9769144532147</v>
      </c>
      <c r="AS33" t="str">
        <f t="shared" ref="AS33" si="62">W33</f>
        <v>92 Elementary administration and service occupations</v>
      </c>
      <c r="AT33" s="68">
        <v>82.092822495634294</v>
      </c>
      <c r="AU33" s="68">
        <v>91.909818936501892</v>
      </c>
      <c r="AV33" s="68">
        <v>99.968612222286097</v>
      </c>
      <c r="AW33" s="68">
        <v>116.26355837835345</v>
      </c>
      <c r="AX33" s="68">
        <v>153.96560763406308</v>
      </c>
      <c r="AY33" s="68"/>
      <c r="AZ33" s="68">
        <f t="shared" ref="AZ33" si="63">AX33-AV33</f>
        <v>53.996995411776979</v>
      </c>
      <c r="BA33" s="68">
        <f>'RD T1'!E177</f>
        <v>77.762622843516965</v>
      </c>
      <c r="BB33" s="68">
        <f t="shared" ref="BB33" si="64">SUM(AZ33:BA33)</f>
        <v>131.75961825529396</v>
      </c>
      <c r="BD33" t="str">
        <f t="shared" ref="BD33" si="65">AH33</f>
        <v>92 Elementary administration and service occupations</v>
      </c>
      <c r="BE33" s="68">
        <v>497.82341236134403</v>
      </c>
      <c r="BF33" s="68">
        <v>486.15856612157836</v>
      </c>
      <c r="BG33" s="68">
        <v>467.51238815628125</v>
      </c>
      <c r="BH33" s="68">
        <v>464.1692554688056</v>
      </c>
      <c r="BI33" s="68">
        <v>458.81158774520134</v>
      </c>
      <c r="BJ33" s="68"/>
      <c r="BK33" s="68">
        <f t="shared" ref="BK33" si="66">BI33-BG33</f>
        <v>-8.7008004110799106</v>
      </c>
      <c r="BL33" s="68">
        <f>'RD T1'!E206</f>
        <v>227.91462864641105</v>
      </c>
      <c r="BM33" s="68">
        <f t="shared" ref="BM33" si="67">SUM(BK33:BL33)</f>
        <v>219.21382823533114</v>
      </c>
      <c r="BO33" t="str">
        <f t="shared" ref="BO33" si="68">AS33</f>
        <v>92 Elementary administration and service occupations</v>
      </c>
      <c r="BP33" s="68">
        <v>792.97029687531551</v>
      </c>
      <c r="BQ33" s="68">
        <v>825.86930755744697</v>
      </c>
      <c r="BR33" s="68">
        <v>731.87778282282113</v>
      </c>
      <c r="BS33" s="68">
        <v>758.8937507884682</v>
      </c>
      <c r="BT33" s="68">
        <v>668.58694546381037</v>
      </c>
      <c r="BU33" s="68"/>
      <c r="BV33" s="68">
        <f t="shared" ref="BV33" si="69">BT33-BR33</f>
        <v>-63.290837359010766</v>
      </c>
      <c r="BW33" s="68">
        <f>'RD T1'!E235</f>
        <v>342.987485108643</v>
      </c>
      <c r="BX33" s="68">
        <f t="shared" ref="BX33" si="70">SUM(BV33:BW33)</f>
        <v>279.69664774963223</v>
      </c>
      <c r="BZ33" t="str">
        <f t="shared" ref="BZ33" si="71">BD33</f>
        <v>92 Elementary administration and service occupations</v>
      </c>
      <c r="CA33" s="68">
        <v>737.01130009759481</v>
      </c>
      <c r="CB33" s="68">
        <v>748.23599314722742</v>
      </c>
      <c r="CC33" s="68">
        <v>657.94918178803675</v>
      </c>
      <c r="CD33" s="68">
        <v>642.46279866281918</v>
      </c>
      <c r="CE33" s="68">
        <v>443.81766867048924</v>
      </c>
      <c r="CF33" s="68"/>
      <c r="CG33" s="68">
        <f t="shared" ref="CG33" si="72">CE33-CC33</f>
        <v>-214.13151311754751</v>
      </c>
      <c r="CH33" s="68">
        <f>'RD T1'!E264</f>
        <v>227.10878542450592</v>
      </c>
      <c r="CI33" s="68">
        <f t="shared" ref="CI33" si="73">SUM(CG33:CH33)</f>
        <v>12.977272306958412</v>
      </c>
      <c r="CK33" t="str">
        <f t="shared" ref="CK33" si="74">BO33</f>
        <v>92 Elementary administration and service occupations</v>
      </c>
      <c r="CL33" s="68">
        <v>381.70178432753573</v>
      </c>
      <c r="CM33" s="68">
        <v>300.64598362821022</v>
      </c>
      <c r="CN33" s="68">
        <v>238.08358981535221</v>
      </c>
      <c r="CO33" s="68">
        <v>170.25529857426184</v>
      </c>
      <c r="CP33" s="68">
        <v>106.42643757342684</v>
      </c>
      <c r="CQ33" s="68"/>
      <c r="CR33" s="68">
        <f t="shared" ref="CR33" si="75">CP33-CN33</f>
        <v>-131.65715224192536</v>
      </c>
      <c r="CS33" s="68">
        <f>'RD T1'!E293</f>
        <v>42.574257551663393</v>
      </c>
      <c r="CT33" s="68">
        <f t="shared" ref="CT33" si="76">SUM(CR33:CS33)</f>
        <v>-89.082894690261966</v>
      </c>
    </row>
    <row r="34" spans="1:98" x14ac:dyDescent="0.3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3">
      <c r="A35" s="231" t="str">
        <f>name!D3</f>
        <v>All occupations</v>
      </c>
      <c r="B35" s="66">
        <f>SUM(B8:B33)</f>
        <v>393.72032912482751</v>
      </c>
      <c r="C35" s="66">
        <f t="shared" ref="C35:F35" si="77">SUM(C8:C33)</f>
        <v>507.7728354205525</v>
      </c>
      <c r="D35" s="66">
        <f t="shared" si="77"/>
        <v>522.64787196202735</v>
      </c>
      <c r="E35" s="66">
        <f t="shared" si="77"/>
        <v>669.85441339156534</v>
      </c>
      <c r="F35" s="66">
        <f t="shared" si="77"/>
        <v>934.29562779049593</v>
      </c>
      <c r="G35" s="11"/>
      <c r="H35" s="66">
        <f>F35-D35</f>
        <v>411.64775582846858</v>
      </c>
      <c r="I35" s="66">
        <f>SUM(I8:I33)</f>
        <v>359.98385195840569</v>
      </c>
      <c r="J35" s="66">
        <f>SUM(H35:I35)</f>
        <v>771.63160778687427</v>
      </c>
      <c r="L35" s="23" t="str">
        <f>A35</f>
        <v>All occupations</v>
      </c>
      <c r="M35" s="66">
        <f>SUM(M8:M33)</f>
        <v>2754.1142531476735</v>
      </c>
      <c r="N35" s="66">
        <f t="shared" ref="N35:Q35" si="78">SUM(N8:N33)</f>
        <v>3602.5037901916362</v>
      </c>
      <c r="O35" s="66">
        <f t="shared" si="78"/>
        <v>3765.2895086273356</v>
      </c>
      <c r="P35" s="66">
        <f t="shared" si="78"/>
        <v>4821.6227812757152</v>
      </c>
      <c r="Q35" s="66">
        <f t="shared" si="78"/>
        <v>6789.3769020925356</v>
      </c>
      <c r="R35" s="11"/>
      <c r="S35" s="66">
        <f>Q35-O35</f>
        <v>3024.0873934652</v>
      </c>
      <c r="T35" s="66">
        <f>SUM(T8:T33)</f>
        <v>2719.9818539858752</v>
      </c>
      <c r="U35" s="66">
        <f>SUM(S35:T35)</f>
        <v>5744.0692474510752</v>
      </c>
      <c r="W35" s="23" t="str">
        <f>A35</f>
        <v>All occupations</v>
      </c>
      <c r="X35" s="66">
        <f>SUM(X8:X33)</f>
        <v>5584.3807768145416</v>
      </c>
      <c r="Y35" s="66">
        <f t="shared" ref="Y35:AB35" si="79">SUM(Y8:Y33)</f>
        <v>6107.7777430294209</v>
      </c>
      <c r="Z35" s="66">
        <f t="shared" si="79"/>
        <v>6391.7857047962016</v>
      </c>
      <c r="AA35" s="66">
        <f t="shared" si="79"/>
        <v>6786.3536701513303</v>
      </c>
      <c r="AB35" s="66">
        <f t="shared" si="79"/>
        <v>7600.014603543108</v>
      </c>
      <c r="AC35" s="11"/>
      <c r="AD35" s="66">
        <f>AB35-Z35</f>
        <v>1208.2288987469065</v>
      </c>
      <c r="AE35" s="66">
        <f>SUM(AE8:AE33)</f>
        <v>3831.0082522733819</v>
      </c>
      <c r="AF35" s="66">
        <f>SUM(AD35:AE35)</f>
        <v>5039.2371510202884</v>
      </c>
      <c r="AH35" s="23" t="str">
        <f>L35</f>
        <v>All occupations</v>
      </c>
      <c r="AI35" s="66">
        <f>SUM(AI8:AI33)</f>
        <v>1634.7622700058328</v>
      </c>
      <c r="AJ35" s="66">
        <f t="shared" ref="AJ35:AM35" si="80">SUM(AJ8:AJ33)</f>
        <v>1634.5018593060918</v>
      </c>
      <c r="AK35" s="66">
        <f t="shared" si="80"/>
        <v>1705.9419206369141</v>
      </c>
      <c r="AL35" s="66">
        <f t="shared" si="80"/>
        <v>1703.5284462232423</v>
      </c>
      <c r="AM35" s="66">
        <f t="shared" si="80"/>
        <v>1868.8532961954368</v>
      </c>
      <c r="AN35" s="11"/>
      <c r="AO35" s="66">
        <f>AM35-AK35</f>
        <v>162.91137555852265</v>
      </c>
      <c r="AP35" s="66">
        <f>SUM(AP8:AP33)</f>
        <v>946.85189621330414</v>
      </c>
      <c r="AQ35" s="66">
        <f>SUM(AO35:AP35)</f>
        <v>1109.7632717718268</v>
      </c>
      <c r="AS35" s="23" t="str">
        <f>W35</f>
        <v>All occupations</v>
      </c>
      <c r="AT35" s="66">
        <f>SUM(AT8:AT33)</f>
        <v>1538.7570902922503</v>
      </c>
      <c r="AU35" s="66">
        <f t="shared" ref="AU35:AX35" si="81">SUM(AU8:AU33)</f>
        <v>1642.650941722472</v>
      </c>
      <c r="AV35" s="66">
        <f t="shared" si="81"/>
        <v>1728.4186881347268</v>
      </c>
      <c r="AW35" s="66">
        <f t="shared" si="81"/>
        <v>1800.9127886998008</v>
      </c>
      <c r="AX35" s="66">
        <f t="shared" si="81"/>
        <v>2040.3810684286768</v>
      </c>
      <c r="AY35" s="11"/>
      <c r="AZ35" s="66">
        <f>AX35-AV35</f>
        <v>311.96238029394999</v>
      </c>
      <c r="BA35" s="66">
        <f>SUM(BA8:BA33)</f>
        <v>986.86481642406386</v>
      </c>
      <c r="BB35" s="66">
        <f>SUM(AZ35:BA35)</f>
        <v>1298.827196718014</v>
      </c>
      <c r="BD35" s="23" t="str">
        <f>AH35</f>
        <v>All occupations</v>
      </c>
      <c r="BE35" s="66">
        <f>SUM(BE8:BE33)</f>
        <v>5639.2616360428565</v>
      </c>
      <c r="BF35" s="66">
        <f t="shared" ref="BF35:BI35" si="82">SUM(BF8:BF33)</f>
        <v>5832.8497135580037</v>
      </c>
      <c r="BG35" s="66">
        <f t="shared" si="82"/>
        <v>5842.7949099002681</v>
      </c>
      <c r="BH35" s="66">
        <f t="shared" si="82"/>
        <v>5811.9310878058868</v>
      </c>
      <c r="BI35" s="66">
        <f t="shared" si="82"/>
        <v>5820.8764372949227</v>
      </c>
      <c r="BJ35" s="11"/>
      <c r="BK35" s="66">
        <f>BI35-BG35</f>
        <v>-21.918472605345414</v>
      </c>
      <c r="BL35" s="66">
        <f>SUM(BL8:BL33)</f>
        <v>2619.1029091666978</v>
      </c>
      <c r="BM35" s="66">
        <f>SUM(BK35:BL35)</f>
        <v>2597.1844365613524</v>
      </c>
      <c r="BO35" s="23" t="str">
        <f>AS35</f>
        <v>All occupations</v>
      </c>
      <c r="BP35" s="66">
        <f>SUM(BP8:BP33)</f>
        <v>5710.2594647863698</v>
      </c>
      <c r="BQ35" s="66">
        <f t="shared" ref="BQ35:BT35" si="83">SUM(BQ8:BQ33)</f>
        <v>5758.7634162135055</v>
      </c>
      <c r="BR35" s="66">
        <f t="shared" si="83"/>
        <v>5330.1618704902985</v>
      </c>
      <c r="BS35" s="66">
        <f t="shared" si="83"/>
        <v>5134.446482014765</v>
      </c>
      <c r="BT35" s="66">
        <f t="shared" si="83"/>
        <v>4272.5426973519852</v>
      </c>
      <c r="BU35" s="11"/>
      <c r="BV35" s="66">
        <f>BT35-BR35</f>
        <v>-1057.6191731383133</v>
      </c>
      <c r="BW35" s="66">
        <f>SUM(BW8:BW33)</f>
        <v>2179.9156973926156</v>
      </c>
      <c r="BX35" s="66">
        <f>SUM(BV35:BW35)</f>
        <v>1122.2965242543023</v>
      </c>
      <c r="BZ35" s="23" t="str">
        <f>BD35</f>
        <v>All occupations</v>
      </c>
      <c r="CA35" s="66">
        <f>SUM(CA8:CA33)</f>
        <v>3914.3609839876085</v>
      </c>
      <c r="CB35" s="66">
        <f t="shared" ref="CB35:CE35" si="84">SUM(CB8:CB33)</f>
        <v>3791.5074330667603</v>
      </c>
      <c r="CC35" s="66">
        <f t="shared" si="84"/>
        <v>3433.3407975165819</v>
      </c>
      <c r="CD35" s="66">
        <f t="shared" si="84"/>
        <v>3089.2371506086902</v>
      </c>
      <c r="CE35" s="66">
        <f t="shared" si="84"/>
        <v>2049.7111319639857</v>
      </c>
      <c r="CF35" s="11"/>
      <c r="CG35" s="66">
        <f>CE35-CC35</f>
        <v>-1383.6296655525962</v>
      </c>
      <c r="CH35" s="66">
        <f>SUM(CH8:CH33)</f>
        <v>1066.7025551749459</v>
      </c>
      <c r="CI35" s="66">
        <f>SUM(CG35:CH35)</f>
        <v>-316.92711037765025</v>
      </c>
      <c r="CK35" s="23" t="str">
        <f>BO35</f>
        <v>All occupations</v>
      </c>
      <c r="CL35" s="66">
        <f>SUM(CL8:CL33)</f>
        <v>1486.5551957958039</v>
      </c>
      <c r="CM35" s="66">
        <f t="shared" ref="CM35:CO35" si="85">SUM(CM8:CM33)</f>
        <v>1334.4322674854266</v>
      </c>
      <c r="CN35" s="66">
        <f>SUM(CN8:CN33)</f>
        <v>1139.2997279306769</v>
      </c>
      <c r="CO35" s="66">
        <f t="shared" si="85"/>
        <v>936.86117983903125</v>
      </c>
      <c r="CP35" s="66">
        <f>SUM(CP8:CP33)</f>
        <v>694.03923533775844</v>
      </c>
      <c r="CQ35" s="11"/>
      <c r="CR35" s="66">
        <f>CP35-CN35</f>
        <v>-445.26049259291847</v>
      </c>
      <c r="CS35" s="66">
        <f>SUM(CS8:CS33)</f>
        <v>277.71109445882354</v>
      </c>
      <c r="CT35" s="66">
        <f>SUM(CR35:CS35)</f>
        <v>-167.54939813409493</v>
      </c>
    </row>
    <row r="38" spans="1:98" ht="52.5" customHeight="1" x14ac:dyDescent="0.3">
      <c r="A38" s="379" t="str">
        <f>CONCATENATE(A$1," (Continued)")</f>
        <v>Basic Table 2  Employment Change by Occupation and Replacement Demand, RQF8 Doctorate, 2015-2035, England (Continued)</v>
      </c>
      <c r="B38" s="379"/>
      <c r="C38" s="379"/>
      <c r="D38" s="379"/>
      <c r="E38" s="379"/>
      <c r="F38" s="379"/>
      <c r="G38" s="379"/>
      <c r="H38" s="379"/>
      <c r="I38" s="379"/>
      <c r="J38" s="379"/>
      <c r="L38" s="379" t="str">
        <f>CONCATENATE(L$1," (Continued)")</f>
        <v>Basic Table 2.1  Employment Change by Occupation and Replacement Demand, RQF7 Other higher degree, 2015-2035, England (Continued)</v>
      </c>
      <c r="M38" s="379"/>
      <c r="N38" s="379"/>
      <c r="O38" s="379"/>
      <c r="P38" s="379"/>
      <c r="Q38" s="379"/>
      <c r="R38" s="379"/>
      <c r="S38" s="379"/>
      <c r="T38" s="379"/>
      <c r="U38" s="379"/>
      <c r="W38" s="379" t="str">
        <f>CONCATENATE(W$1," (Continued)")</f>
        <v>Basic Table 2.2  Employment Change by Occupation and Replacement Demand, RQF6 First degree, 2015-2035, England (Continued)</v>
      </c>
      <c r="X38" s="379"/>
      <c r="Y38" s="379"/>
      <c r="Z38" s="379"/>
      <c r="AA38" s="379"/>
      <c r="AB38" s="379"/>
      <c r="AC38" s="379"/>
      <c r="AD38" s="379"/>
      <c r="AE38" s="379"/>
      <c r="AF38" s="379"/>
      <c r="AH38" s="379" t="str">
        <f>CONCATENATE(AH$1," (Continued)")</f>
        <v>Basic Table 2.3  Employment Change by Occupation and Replacement Demand, RQF5 Foundation degree;Nursing;Teaching, 2015-2035, England (Continued)</v>
      </c>
      <c r="AI38" s="379"/>
      <c r="AJ38" s="379"/>
      <c r="AK38" s="379"/>
      <c r="AL38" s="379"/>
      <c r="AM38" s="379"/>
      <c r="AN38" s="379"/>
      <c r="AO38" s="379"/>
      <c r="AP38" s="379"/>
      <c r="AQ38" s="379"/>
      <c r="AS38" s="379" t="str">
        <f>CONCATENATE(AS$1," (Continued)")</f>
        <v>Basic Table 2.4  Employment Change by Occupation and Replacement Demand, RQF4 HE below degree level, 2015-2035, England (Continued)</v>
      </c>
      <c r="AT38" s="379"/>
      <c r="AU38" s="379"/>
      <c r="AV38" s="379"/>
      <c r="AW38" s="379"/>
      <c r="AX38" s="379"/>
      <c r="AY38" s="379"/>
      <c r="AZ38" s="379"/>
      <c r="BA38" s="379"/>
      <c r="BB38" s="379"/>
      <c r="BD38" s="379" t="str">
        <f>CONCATENATE(BD$1," (Continued)")</f>
        <v>Basic Table 2.5  Employment Change by Occupation and Replacement Demand, RQF3 A level &amp; equivalent, 2015-2035, England (Continued)</v>
      </c>
      <c r="BE38" s="379"/>
      <c r="BF38" s="379"/>
      <c r="BG38" s="379"/>
      <c r="BH38" s="379"/>
      <c r="BI38" s="379"/>
      <c r="BJ38" s="379"/>
      <c r="BK38" s="379"/>
      <c r="BL38" s="379"/>
      <c r="BM38" s="379"/>
      <c r="BO38" s="379" t="str">
        <f>CONCATENATE(BO$1," (Continued)")</f>
        <v>Basic Table 2.6  Employment Change by Occupation and Replacement Demand, RQF2 GCSE(A-C) &amp; equivalent, 2015-2035, England (Continued)</v>
      </c>
      <c r="BP38" s="379"/>
      <c r="BQ38" s="379"/>
      <c r="BR38" s="379"/>
      <c r="BS38" s="379"/>
      <c r="BT38" s="379"/>
      <c r="BU38" s="379"/>
      <c r="BV38" s="379"/>
      <c r="BW38" s="379"/>
      <c r="BX38" s="379"/>
      <c r="BZ38" s="379" t="str">
        <f>CONCATENATE(BZ$1," (Continued)")</f>
        <v>Basic Table 2.7  Employment Change by Occupation and Replacement Demand, RQF1 GCSE(below grade C) &amp; equivalent, 2015-2035, England (Continued)</v>
      </c>
      <c r="CA38" s="379"/>
      <c r="CB38" s="379"/>
      <c r="CC38" s="379"/>
      <c r="CD38" s="379"/>
      <c r="CE38" s="379"/>
      <c r="CF38" s="379"/>
      <c r="CG38" s="379"/>
      <c r="CH38" s="379"/>
      <c r="CI38" s="379"/>
      <c r="CK38" s="379" t="str">
        <f>CONCATENATE(CK$1," (Continued)")</f>
        <v>Basic Table 2.8  Employment Change by Occupation and Replacement Demand, No Qualification, 2015-2035, England (Continued)</v>
      </c>
      <c r="CL38" s="379"/>
      <c r="CM38" s="379"/>
      <c r="CN38" s="379"/>
      <c r="CO38" s="379"/>
      <c r="CP38" s="379"/>
      <c r="CQ38" s="379"/>
      <c r="CR38" s="379"/>
      <c r="CS38" s="379"/>
      <c r="CT38" s="379"/>
    </row>
    <row r="39" spans="1:98" ht="12.75" customHeight="1" x14ac:dyDescent="0.3"/>
    <row r="40" spans="1:98" ht="12.75" customHeight="1" x14ac:dyDescent="0.3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3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3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3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3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3">
      <c r="A45" t="str">
        <f t="shared" ref="A45:A70" si="95">A8</f>
        <v>11 Corporate managers and directors</v>
      </c>
      <c r="B45" s="17">
        <f t="shared" ref="B45:F54" si="96">B8/B$35*100</f>
        <v>7.0695331628742073</v>
      </c>
      <c r="C45" s="17">
        <f t="shared" si="96"/>
        <v>7.5095896368163304</v>
      </c>
      <c r="D45" s="17">
        <f t="shared" si="96"/>
        <v>7.6285498162325576</v>
      </c>
      <c r="E45" s="17">
        <f t="shared" si="96"/>
        <v>7.2058763070593708</v>
      </c>
      <c r="F45" s="17">
        <f t="shared" si="96"/>
        <v>7.5699356600741643</v>
      </c>
      <c r="H45" s="67">
        <f>IF(D8&gt;0,(H8/D8)*100,0)</f>
        <v>77.388447050883542</v>
      </c>
      <c r="I45" s="68">
        <f>IF(D8&gt;0,I8/D8*100,0)</f>
        <v>72.963456474937104</v>
      </c>
      <c r="J45" s="68">
        <f>IF(D8&gt;0,(J8/D8)*100,0)</f>
        <v>150.35190352582063</v>
      </c>
      <c r="L45" t="str">
        <f>A45</f>
        <v>11 Corporate managers and directors</v>
      </c>
      <c r="M45" s="17">
        <f t="shared" ref="M45:Q54" si="97">M8/M$35*100</f>
        <v>8.3209803997196694</v>
      </c>
      <c r="N45" s="17">
        <f t="shared" si="97"/>
        <v>8.9321052697775816</v>
      </c>
      <c r="O45" s="17">
        <f t="shared" si="97"/>
        <v>8.8847893670305833</v>
      </c>
      <c r="P45" s="17">
        <f t="shared" si="97"/>
        <v>8.1560563801385459</v>
      </c>
      <c r="Q45" s="17">
        <f t="shared" si="97"/>
        <v>8.3824643955328355</v>
      </c>
      <c r="S45" s="67">
        <f t="shared" ref="S45:S70" si="98">IF(O8&gt;0,(S8/O8)*100,0)</f>
        <v>70.120294320909977</v>
      </c>
      <c r="T45" s="68">
        <f t="shared" ref="T45:T70" si="99">IF(O8&gt;0,T8/O8*100,0)</f>
        <v>70.995672915530022</v>
      </c>
      <c r="U45" s="68">
        <f t="shared" ref="U45:U70" si="100">IF(O8&gt;0,(U8/O8)*100,0)</f>
        <v>141.11596723643999</v>
      </c>
      <c r="W45" t="str">
        <f>A45</f>
        <v>11 Corporate managers and directors</v>
      </c>
      <c r="X45" s="17">
        <f t="shared" ref="X45:AB54" si="101">X8/X$35*100</f>
        <v>9.9152756402412301</v>
      </c>
      <c r="Y45" s="17">
        <f t="shared" si="101"/>
        <v>10.859076120881115</v>
      </c>
      <c r="Z45" s="17">
        <f t="shared" si="101"/>
        <v>10.597694184790514</v>
      </c>
      <c r="AA45" s="17">
        <f t="shared" si="101"/>
        <v>9.556601670063273</v>
      </c>
      <c r="AB45" s="17">
        <f t="shared" si="101"/>
        <v>9.5221107986161684</v>
      </c>
      <c r="AD45" s="67">
        <f t="shared" ref="AD45:AD70" si="102">IF(Z8&gt;0,(AD8/Z8)*100,0)</f>
        <v>6.8351264163132361</v>
      </c>
      <c r="AE45" s="68">
        <f t="shared" ref="AE45:AE70" si="103">IF(Z8&gt;0,AE8/Z8*100,0)</f>
        <v>57.702700384446224</v>
      </c>
      <c r="AF45" s="68">
        <f t="shared" ref="AF45:AF70" si="104">IF(Z8&gt;0,(AF8/Z8)*100,0)</f>
        <v>64.537826800759461</v>
      </c>
      <c r="AH45" t="str">
        <f>L45</f>
        <v>11 Corporate managers and directors</v>
      </c>
      <c r="AI45" s="17">
        <f t="shared" ref="AI45:AM54" si="105">AI8/AI$35*100</f>
        <v>6.3606774846066774</v>
      </c>
      <c r="AJ45" s="17">
        <f t="shared" si="105"/>
        <v>7.1966329666285374</v>
      </c>
      <c r="AK45" s="17">
        <f t="shared" si="105"/>
        <v>7.3577755530075128</v>
      </c>
      <c r="AL45" s="17">
        <f t="shared" si="105"/>
        <v>6.7211555462726693</v>
      </c>
      <c r="AM45" s="17">
        <f t="shared" si="105"/>
        <v>6.5716999245502157</v>
      </c>
      <c r="AO45" s="67">
        <f t="shared" ref="AO45:AO70" si="106">IF(AK8&gt;0,(AO8/AK8)*100,0)</f>
        <v>-2.1542067696010303</v>
      </c>
      <c r="AP45" s="68">
        <f t="shared" ref="AP45:AP70" si="107">IF(AK8&gt;0,AP8/AK8*100,0)</f>
        <v>50.220491856248771</v>
      </c>
      <c r="AQ45" s="68">
        <f t="shared" ref="AQ45:AQ70" si="108">IF(AK8&gt;0,(AQ8/AK8)*100,0)</f>
        <v>48.066285086647738</v>
      </c>
      <c r="AS45" t="str">
        <f>W45</f>
        <v>11 Corporate managers and directors</v>
      </c>
      <c r="AT45" s="17">
        <f t="shared" ref="AT45:AX54" si="109">AT8/AT$35*100</f>
        <v>10.005067714007607</v>
      </c>
      <c r="AU45" s="17">
        <f t="shared" si="109"/>
        <v>10.649533273389194</v>
      </c>
      <c r="AV45" s="17">
        <f t="shared" si="109"/>
        <v>10.725366105789513</v>
      </c>
      <c r="AW45" s="17">
        <f t="shared" si="109"/>
        <v>9.2644729293409736</v>
      </c>
      <c r="AX45" s="17">
        <f t="shared" si="109"/>
        <v>8.8093677491496472</v>
      </c>
      <c r="AZ45" s="67">
        <f t="shared" ref="AZ45:AZ70" si="110">IF(AV8&gt;0,(AZ8/AV8)*100,0)</f>
        <v>-3.0394776568425348</v>
      </c>
      <c r="BA45" s="68">
        <f t="shared" ref="BA45:BA70" si="111">IF(AV8&gt;0,BA8/AV8*100,0)</f>
        <v>50.030881000300617</v>
      </c>
      <c r="BB45" s="68">
        <f t="shared" ref="BB45:BB70" si="112">IF(AV8&gt;0,(BB8/AV8)*100,0)</f>
        <v>46.991403343458089</v>
      </c>
      <c r="BD45" t="str">
        <f>AH45</f>
        <v>11 Corporate managers and directors</v>
      </c>
      <c r="BE45" s="17">
        <f t="shared" ref="BE45:BI54" si="113">BE8/BE$35*100</f>
        <v>5.859062317490074</v>
      </c>
      <c r="BF45" s="17">
        <f t="shared" si="113"/>
        <v>6.5172161361637118</v>
      </c>
      <c r="BG45" s="17">
        <f t="shared" si="113"/>
        <v>6.8050675305533765</v>
      </c>
      <c r="BH45" s="17">
        <f t="shared" si="113"/>
        <v>5.8110855786582229</v>
      </c>
      <c r="BI45" s="17">
        <f t="shared" si="113"/>
        <v>5.9549621511614736</v>
      </c>
      <c r="BK45" s="67">
        <f t="shared" ref="BK45:BK70" si="114">IF(BG8&gt;0,(BK8/BG8)*100,0)</f>
        <v>-12.820513957512741</v>
      </c>
      <c r="BL45" s="68">
        <f t="shared" ref="BL45:BL70" si="115">IF(BG8&gt;0,BL8/BG8*100,0)</f>
        <v>38.11175099118767</v>
      </c>
      <c r="BM45" s="68">
        <f t="shared" ref="BM45:BM70" si="116">IF(BG8&gt;0,(BM8/BG8)*100,0)</f>
        <v>25.291237033674928</v>
      </c>
      <c r="BO45" t="str">
        <f>AS45</f>
        <v>11 Corporate managers and directors</v>
      </c>
      <c r="BP45" s="17">
        <f t="shared" ref="BP45:BT54" si="117">BP8/BP$35*100</f>
        <v>4.7747417356873632</v>
      </c>
      <c r="BQ45" s="17">
        <f t="shared" si="117"/>
        <v>5.2442710654642983</v>
      </c>
      <c r="BR45" s="17">
        <f t="shared" si="117"/>
        <v>5.463830389868316</v>
      </c>
      <c r="BS45" s="17">
        <f t="shared" si="117"/>
        <v>4.6258993511056872</v>
      </c>
      <c r="BT45" s="17">
        <f t="shared" si="117"/>
        <v>4.2994005024844402</v>
      </c>
      <c r="BV45" s="67">
        <f t="shared" ref="BV45:BV70" si="118">IF(BR8&gt;0,(BV8/BR8)*100,0)</f>
        <v>-36.925080225988673</v>
      </c>
      <c r="BW45" s="68">
        <f t="shared" ref="BW45:BW70" si="119">IF(BR8&gt;0,BW8/BR8*100,0)</f>
        <v>34.792007044706367</v>
      </c>
      <c r="BX45" s="68">
        <f t="shared" ref="BX45:BX70" si="120">IF(BR8&gt;0,(BX8/BR8)*100,0)</f>
        <v>-2.1330731812823025</v>
      </c>
      <c r="BZ45" t="str">
        <f>BD45</f>
        <v>11 Corporate managers and directors</v>
      </c>
      <c r="CA45" s="17">
        <f t="shared" ref="CA45:CE54" si="121">CA8/CA$35*100</f>
        <v>4.8404210682280171</v>
      </c>
      <c r="CB45" s="17">
        <f t="shared" si="121"/>
        <v>5.5539053838553638</v>
      </c>
      <c r="CC45" s="17">
        <f t="shared" si="121"/>
        <v>6.0921136436070364</v>
      </c>
      <c r="CD45" s="17">
        <f t="shared" si="121"/>
        <v>5.9603296317609553</v>
      </c>
      <c r="CE45" s="17">
        <f t="shared" si="121"/>
        <v>6.7505593198355296</v>
      </c>
      <c r="CG45" s="67">
        <f t="shared" ref="CG45:CG70" si="122">IF(CC8&gt;0,(CG8/CC8)*100,0)</f>
        <v>-33.847310217629264</v>
      </c>
      <c r="CH45" s="68">
        <f t="shared" ref="CH45:CH70" si="123">IF(CC8&gt;0,CH8/CC8*100,0)</f>
        <v>34.720672525678474</v>
      </c>
      <c r="CI45" s="68">
        <f t="shared" ref="CI45:CI70" si="124">IF(CC8&gt;0,(CI8/CC8)*100,0)</f>
        <v>0.87336230804920945</v>
      </c>
      <c r="CK45" t="str">
        <f>BO45</f>
        <v>11 Corporate managers and directors</v>
      </c>
      <c r="CL45" s="17">
        <f t="shared" ref="CL45:CP54" si="125">CL8/CL$35*100</f>
        <v>2.5736146410759035</v>
      </c>
      <c r="CM45" s="17">
        <f t="shared" si="125"/>
        <v>3.2972130182603006</v>
      </c>
      <c r="CN45" s="17">
        <f t="shared" si="125"/>
        <v>3.5262022153566908</v>
      </c>
      <c r="CO45" s="17">
        <f t="shared" si="125"/>
        <v>3.5168366065418439</v>
      </c>
      <c r="CP45" s="17">
        <f t="shared" si="125"/>
        <v>4.7429230749035618</v>
      </c>
      <c r="CR45" s="67">
        <f t="shared" ref="CR45:CR70" si="126">IF(CN8&gt;0,(CR8/CN8)*100,0)</f>
        <v>-18.062087400483914</v>
      </c>
      <c r="CS45" s="68">
        <f t="shared" ref="CS45:CS70" si="127">IF(CN8&gt;0,CS8/CN8*100,0)</f>
        <v>27.57302802172978</v>
      </c>
      <c r="CT45" s="68">
        <f t="shared" ref="CT45:CT70" si="128">IF(CN8&gt;0,(CT8/CN8)*100,0)</f>
        <v>9.5109406212458616</v>
      </c>
    </row>
    <row r="46" spans="1:98" x14ac:dyDescent="0.3">
      <c r="A46" t="str">
        <f t="shared" si="95"/>
        <v>12 Other managers and proprietors</v>
      </c>
      <c r="B46" s="17">
        <f t="shared" si="96"/>
        <v>2.7527811421571271</v>
      </c>
      <c r="C46" s="17">
        <f t="shared" si="96"/>
        <v>2.8158734570862465</v>
      </c>
      <c r="D46" s="17">
        <f t="shared" si="96"/>
        <v>2.6566273481943807</v>
      </c>
      <c r="E46" s="17">
        <f t="shared" si="96"/>
        <v>3.4199746106345921</v>
      </c>
      <c r="F46" s="17">
        <f t="shared" si="96"/>
        <v>3.9599134334223955</v>
      </c>
      <c r="H46" s="67">
        <f t="shared" ref="H46:H70" si="129">IF(D9&gt;0,(H9/D9)*100,0)</f>
        <v>166.45887072470146</v>
      </c>
      <c r="I46" s="68">
        <f t="shared" ref="I46:I70" si="130">IF(D9&gt;0,I9/D9*100,0)</f>
        <v>115.82656944085782</v>
      </c>
      <c r="J46" s="68">
        <f t="shared" ref="J46:J70" si="131">IF(D9&gt;0,(J9/D9)*100,0)</f>
        <v>282.28544016555924</v>
      </c>
      <c r="L46" t="str">
        <f t="shared" ref="L46:L69" si="132">A46</f>
        <v>12 Other managers and proprietors</v>
      </c>
      <c r="M46" s="17">
        <f t="shared" si="97"/>
        <v>3.2887262842498219</v>
      </c>
      <c r="N46" s="17">
        <f t="shared" si="97"/>
        <v>3.2874143443741239</v>
      </c>
      <c r="O46" s="17">
        <f t="shared" si="97"/>
        <v>3.2521171596548819</v>
      </c>
      <c r="P46" s="17">
        <f t="shared" si="97"/>
        <v>3.9888343889634839</v>
      </c>
      <c r="Q46" s="17">
        <f t="shared" si="97"/>
        <v>4.473291639132893</v>
      </c>
      <c r="S46" s="67">
        <f t="shared" si="98"/>
        <v>148.02335312640301</v>
      </c>
      <c r="T46" s="68">
        <f t="shared" si="99"/>
        <v>108.00337732891873</v>
      </c>
      <c r="U46" s="68">
        <f t="shared" si="100"/>
        <v>256.02673045532174</v>
      </c>
      <c r="W46" t="str">
        <f t="shared" ref="W46:W69" si="133">A46</f>
        <v>12 Other managers and proprietors</v>
      </c>
      <c r="X46" s="17">
        <f t="shared" si="101"/>
        <v>3.7505137921721747</v>
      </c>
      <c r="Y46" s="17">
        <f t="shared" si="101"/>
        <v>3.7549001004947402</v>
      </c>
      <c r="Z46" s="17">
        <f t="shared" si="101"/>
        <v>3.6952414658711166</v>
      </c>
      <c r="AA46" s="17">
        <f t="shared" si="101"/>
        <v>4.5017449456066894</v>
      </c>
      <c r="AB46" s="17">
        <f t="shared" si="101"/>
        <v>4.9107639716178806</v>
      </c>
      <c r="AD46" s="67">
        <f t="shared" si="102"/>
        <v>58.015052194584428</v>
      </c>
      <c r="AE46" s="68">
        <f t="shared" si="103"/>
        <v>87.366765891740357</v>
      </c>
      <c r="AF46" s="68">
        <f t="shared" si="104"/>
        <v>145.38181808632476</v>
      </c>
      <c r="AH46" t="str">
        <f t="shared" ref="AH46:AH69" si="134">L46</f>
        <v>12 Other managers and proprietors</v>
      </c>
      <c r="AI46" s="17">
        <f t="shared" si="105"/>
        <v>3.4427543362116184</v>
      </c>
      <c r="AJ46" s="17">
        <f t="shared" si="105"/>
        <v>3.7834284722531564</v>
      </c>
      <c r="AK46" s="17">
        <f t="shared" si="105"/>
        <v>3.9465638233009104</v>
      </c>
      <c r="AL46" s="17">
        <f t="shared" si="105"/>
        <v>4.7845580445932683</v>
      </c>
      <c r="AM46" s="17">
        <f t="shared" si="105"/>
        <v>5.3122181054850897</v>
      </c>
      <c r="AO46" s="67">
        <f t="shared" si="106"/>
        <v>47.45779541280082</v>
      </c>
      <c r="AP46" s="68">
        <f t="shared" si="107"/>
        <v>82.059304145250721</v>
      </c>
      <c r="AQ46" s="68">
        <f t="shared" si="108"/>
        <v>129.51709955805154</v>
      </c>
      <c r="AS46" t="str">
        <f t="shared" ref="AS46:AS69" si="135">W46</f>
        <v>12 Other managers and proprietors</v>
      </c>
      <c r="AT46" s="17">
        <f t="shared" si="109"/>
        <v>4.3511926608613489</v>
      </c>
      <c r="AU46" s="17">
        <f t="shared" si="109"/>
        <v>4.4009094008783656</v>
      </c>
      <c r="AV46" s="17">
        <f t="shared" si="109"/>
        <v>4.3755004120416858</v>
      </c>
      <c r="AW46" s="17">
        <f t="shared" si="109"/>
        <v>5.2777345736498154</v>
      </c>
      <c r="AX46" s="17">
        <f t="shared" si="109"/>
        <v>5.3979610556631945</v>
      </c>
      <c r="AZ46" s="67">
        <f t="shared" si="110"/>
        <v>45.634527061472404</v>
      </c>
      <c r="BA46" s="68">
        <f t="shared" si="111"/>
        <v>78.76351980937082</v>
      </c>
      <c r="BB46" s="68">
        <f t="shared" si="112"/>
        <v>124.39804687084323</v>
      </c>
      <c r="BD46" t="str">
        <f t="shared" ref="BD46:BD69" si="136">AH46</f>
        <v>12 Other managers and proprietors</v>
      </c>
      <c r="BE46" s="17">
        <f t="shared" si="113"/>
        <v>2.9686524298298083</v>
      </c>
      <c r="BF46" s="17">
        <f t="shared" si="113"/>
        <v>2.8054078843922028</v>
      </c>
      <c r="BG46" s="17">
        <f t="shared" si="113"/>
        <v>2.9038521238561352</v>
      </c>
      <c r="BH46" s="17">
        <f t="shared" si="113"/>
        <v>3.248789735744404</v>
      </c>
      <c r="BI46" s="17">
        <f t="shared" si="113"/>
        <v>3.4126771551938417</v>
      </c>
      <c r="BK46" s="67">
        <f t="shared" si="114"/>
        <v>17.081545582800693</v>
      </c>
      <c r="BL46" s="68">
        <f t="shared" si="115"/>
        <v>52.780828615639145</v>
      </c>
      <c r="BM46" s="68">
        <f t="shared" si="116"/>
        <v>69.862374198439838</v>
      </c>
      <c r="BO46" t="str">
        <f t="shared" ref="BO46:BO69" si="137">AS46</f>
        <v>12 Other managers and proprietors</v>
      </c>
      <c r="BP46" s="17">
        <f t="shared" si="117"/>
        <v>2.9272259825291904</v>
      </c>
      <c r="BQ46" s="17">
        <f t="shared" si="117"/>
        <v>3.0136802465428283</v>
      </c>
      <c r="BR46" s="17">
        <f t="shared" si="117"/>
        <v>3.1420389768828612</v>
      </c>
      <c r="BS46" s="17">
        <f t="shared" si="117"/>
        <v>3.7511085434165778</v>
      </c>
      <c r="BT46" s="17">
        <f t="shared" si="117"/>
        <v>4.1185933476835892</v>
      </c>
      <c r="BV46" s="67">
        <f t="shared" si="118"/>
        <v>5.0711193254163973</v>
      </c>
      <c r="BW46" s="68">
        <f t="shared" si="119"/>
        <v>59.036634238181108</v>
      </c>
      <c r="BX46" s="68">
        <f t="shared" si="120"/>
        <v>64.107753563597498</v>
      </c>
      <c r="BZ46" t="str">
        <f t="shared" ref="BZ46:BZ69" si="138">BD46</f>
        <v>12 Other managers and proprietors</v>
      </c>
      <c r="CA46" s="17">
        <f t="shared" si="121"/>
        <v>2.9160024408874907</v>
      </c>
      <c r="CB46" s="17">
        <f t="shared" si="121"/>
        <v>3.0877599736088479</v>
      </c>
      <c r="CC46" s="17">
        <f t="shared" si="121"/>
        <v>3.1936938303148921</v>
      </c>
      <c r="CD46" s="17">
        <f t="shared" si="121"/>
        <v>3.7994904350464771</v>
      </c>
      <c r="CE46" s="17">
        <f t="shared" si="121"/>
        <v>4.3263980642057982</v>
      </c>
      <c r="CG46" s="67">
        <f t="shared" si="122"/>
        <v>-19.125996608177985</v>
      </c>
      <c r="CH46" s="68">
        <f t="shared" si="123"/>
        <v>44.050903499396235</v>
      </c>
      <c r="CI46" s="68">
        <f t="shared" si="124"/>
        <v>24.924906891218253</v>
      </c>
      <c r="CK46" t="str">
        <f t="shared" ref="CK46:CK69" si="139">BO46</f>
        <v>12 Other managers and proprietors</v>
      </c>
      <c r="CL46" s="17">
        <f t="shared" si="125"/>
        <v>2.7395246062762517</v>
      </c>
      <c r="CM46" s="17">
        <f t="shared" si="125"/>
        <v>2.9140054599186698</v>
      </c>
      <c r="CN46" s="17">
        <f t="shared" si="125"/>
        <v>3.0568072551692484</v>
      </c>
      <c r="CO46" s="17">
        <f t="shared" si="125"/>
        <v>4.4666382721192495</v>
      </c>
      <c r="CP46" s="17">
        <f t="shared" si="125"/>
        <v>6.1713227781246189</v>
      </c>
      <c r="CR46" s="67">
        <f t="shared" si="126"/>
        <v>22.986158199902945</v>
      </c>
      <c r="CS46" s="68">
        <f t="shared" si="127"/>
        <v>43.353174211977439</v>
      </c>
      <c r="CT46" s="68">
        <f t="shared" si="128"/>
        <v>66.339332411880392</v>
      </c>
    </row>
    <row r="47" spans="1:98" x14ac:dyDescent="0.3">
      <c r="A47" t="str">
        <f t="shared" si="95"/>
        <v>21 Science, research, engineering and technology professionals</v>
      </c>
      <c r="B47" s="17">
        <f t="shared" si="96"/>
        <v>18.802677968694223</v>
      </c>
      <c r="C47" s="17">
        <f t="shared" si="96"/>
        <v>19.04877471675724</v>
      </c>
      <c r="D47" s="17">
        <f t="shared" si="96"/>
        <v>18.828978939031771</v>
      </c>
      <c r="E47" s="17">
        <f t="shared" si="96"/>
        <v>18.413006832933355</v>
      </c>
      <c r="F47" s="17">
        <f t="shared" si="96"/>
        <v>17.546600833403801</v>
      </c>
      <c r="H47" s="67">
        <f t="shared" si="129"/>
        <v>66.587095749080902</v>
      </c>
      <c r="I47" s="68">
        <f t="shared" si="130"/>
        <v>52.375382821888117</v>
      </c>
      <c r="J47" s="68">
        <f t="shared" si="131"/>
        <v>118.96247857096903</v>
      </c>
      <c r="L47" t="str">
        <f t="shared" si="132"/>
        <v>21 Science, research, engineering and technology professionals</v>
      </c>
      <c r="M47" s="17">
        <f t="shared" si="97"/>
        <v>10.641675052868262</v>
      </c>
      <c r="N47" s="17">
        <f t="shared" si="97"/>
        <v>11.066939082053668</v>
      </c>
      <c r="O47" s="17">
        <f t="shared" si="97"/>
        <v>11.224367866494617</v>
      </c>
      <c r="P47" s="17">
        <f t="shared" si="97"/>
        <v>11.48120778219945</v>
      </c>
      <c r="Q47" s="17">
        <f t="shared" si="97"/>
        <v>11.360076219196959</v>
      </c>
      <c r="S47" s="67">
        <f t="shared" si="98"/>
        <v>82.494969596340567</v>
      </c>
      <c r="T47" s="68">
        <f t="shared" si="99"/>
        <v>57.938332421037806</v>
      </c>
      <c r="U47" s="68">
        <f t="shared" si="100"/>
        <v>140.43330201737837</v>
      </c>
      <c r="W47" t="str">
        <f t="shared" si="133"/>
        <v>21 Science, research, engineering and technology professionals</v>
      </c>
      <c r="X47" s="17">
        <f t="shared" si="101"/>
        <v>10.008492002663742</v>
      </c>
      <c r="Y47" s="17">
        <f t="shared" si="101"/>
        <v>10.064188334237803</v>
      </c>
      <c r="Z47" s="17">
        <f t="shared" si="101"/>
        <v>9.987858414545169</v>
      </c>
      <c r="AA47" s="17">
        <f t="shared" si="101"/>
        <v>9.6052509801653692</v>
      </c>
      <c r="AB47" s="17">
        <f t="shared" si="101"/>
        <v>8.8144700923159984</v>
      </c>
      <c r="AD47" s="67">
        <f t="shared" si="102"/>
        <v>4.9339574282935308</v>
      </c>
      <c r="AE47" s="68">
        <f t="shared" si="103"/>
        <v>41.098565156690618</v>
      </c>
      <c r="AF47" s="68">
        <f t="shared" si="104"/>
        <v>46.03252258498415</v>
      </c>
      <c r="AH47" t="str">
        <f t="shared" si="134"/>
        <v>21 Science, research, engineering and technology professionals</v>
      </c>
      <c r="AI47" s="17">
        <f t="shared" si="105"/>
        <v>3.5674977666631946</v>
      </c>
      <c r="AJ47" s="17">
        <f t="shared" si="105"/>
        <v>3.8539146416553405</v>
      </c>
      <c r="AK47" s="17">
        <f t="shared" si="105"/>
        <v>4.0580102956740207</v>
      </c>
      <c r="AL47" s="17">
        <f t="shared" si="105"/>
        <v>4.1942731078350839</v>
      </c>
      <c r="AM47" s="17">
        <f t="shared" si="105"/>
        <v>4.1527772241956997</v>
      </c>
      <c r="AO47" s="67">
        <f t="shared" si="106"/>
        <v>12.107962333312772</v>
      </c>
      <c r="AP47" s="68">
        <f t="shared" si="107"/>
        <v>41.219642082310351</v>
      </c>
      <c r="AQ47" s="68">
        <f t="shared" si="108"/>
        <v>53.327604415623107</v>
      </c>
      <c r="AS47" t="str">
        <f t="shared" si="135"/>
        <v>21 Science, research, engineering and technology professionals</v>
      </c>
      <c r="AT47" s="17">
        <f t="shared" si="109"/>
        <v>9.4406877789859074</v>
      </c>
      <c r="AU47" s="17">
        <f t="shared" si="109"/>
        <v>9.4768899446716564</v>
      </c>
      <c r="AV47" s="17">
        <f t="shared" si="109"/>
        <v>9.3860235923593045</v>
      </c>
      <c r="AW47" s="17">
        <f t="shared" si="109"/>
        <v>8.4686328698121489</v>
      </c>
      <c r="AX47" s="17">
        <f t="shared" si="109"/>
        <v>7.40938289610187</v>
      </c>
      <c r="AZ47" s="67">
        <f t="shared" si="110"/>
        <v>-6.8114125197124178</v>
      </c>
      <c r="BA47" s="68">
        <f t="shared" si="111"/>
        <v>34.88698725552424</v>
      </c>
      <c r="BB47" s="68">
        <f t="shared" si="112"/>
        <v>28.07557473581182</v>
      </c>
      <c r="BD47" t="str">
        <f t="shared" si="136"/>
        <v>21 Science, research, engineering and technology professionals</v>
      </c>
      <c r="BE47" s="17">
        <f t="shared" si="113"/>
        <v>3.5220059182656351</v>
      </c>
      <c r="BF47" s="17">
        <f t="shared" si="113"/>
        <v>3.6626517056742851</v>
      </c>
      <c r="BG47" s="17">
        <f t="shared" si="113"/>
        <v>3.8859045942589892</v>
      </c>
      <c r="BH47" s="17">
        <f t="shared" si="113"/>
        <v>3.4801027641367694</v>
      </c>
      <c r="BI47" s="17">
        <f t="shared" si="113"/>
        <v>3.2946099269994882</v>
      </c>
      <c r="BK47" s="67">
        <f t="shared" si="114"/>
        <v>-15.534451404159446</v>
      </c>
      <c r="BL47" s="68">
        <f t="shared" si="115"/>
        <v>25.977083568388881</v>
      </c>
      <c r="BM47" s="68">
        <f t="shared" si="116"/>
        <v>10.442632164229435</v>
      </c>
      <c r="BO47" t="str">
        <f t="shared" si="137"/>
        <v>21 Science, research, engineering and technology professionals</v>
      </c>
      <c r="BP47" s="17">
        <f t="shared" si="117"/>
        <v>2.5836743594279508</v>
      </c>
      <c r="BQ47" s="17">
        <f t="shared" si="117"/>
        <v>2.7676996774409055</v>
      </c>
      <c r="BR47" s="17">
        <f t="shared" si="117"/>
        <v>3.0157426813220098</v>
      </c>
      <c r="BS47" s="17">
        <f t="shared" si="117"/>
        <v>2.8894845092450416</v>
      </c>
      <c r="BT47" s="17">
        <f t="shared" si="117"/>
        <v>2.9456537192745937</v>
      </c>
      <c r="BV47" s="67">
        <f t="shared" si="118"/>
        <v>-21.70510930946503</v>
      </c>
      <c r="BW47" s="68">
        <f t="shared" si="119"/>
        <v>29.599836558620989</v>
      </c>
      <c r="BX47" s="68">
        <f t="shared" si="120"/>
        <v>7.8947272491559621</v>
      </c>
      <c r="BZ47" t="str">
        <f t="shared" si="138"/>
        <v>21 Science, research, engineering and technology professionals</v>
      </c>
      <c r="CA47" s="17">
        <f t="shared" si="121"/>
        <v>2.3116979705575753</v>
      </c>
      <c r="CB47" s="17">
        <f t="shared" si="121"/>
        <v>2.6114297666910757</v>
      </c>
      <c r="CC47" s="17">
        <f t="shared" si="121"/>
        <v>2.8361485679554042</v>
      </c>
      <c r="CD47" s="17">
        <f t="shared" si="121"/>
        <v>2.9382693557469839</v>
      </c>
      <c r="CE47" s="17">
        <f t="shared" si="121"/>
        <v>2.9902097061982813</v>
      </c>
      <c r="CG47" s="67">
        <f t="shared" si="122"/>
        <v>-37.056858410551548</v>
      </c>
      <c r="CH47" s="68">
        <f t="shared" si="123"/>
        <v>24.74878943985523</v>
      </c>
      <c r="CI47" s="68">
        <f t="shared" si="124"/>
        <v>-12.308068970696315</v>
      </c>
      <c r="CK47" t="str">
        <f t="shared" si="139"/>
        <v>21 Science, research, engineering and technology professionals</v>
      </c>
      <c r="CL47" s="17">
        <f t="shared" si="125"/>
        <v>1.2664539473496859</v>
      </c>
      <c r="CM47" s="17">
        <f t="shared" si="125"/>
        <v>1.7581563939315208</v>
      </c>
      <c r="CN47" s="17">
        <f t="shared" si="125"/>
        <v>2.0130762723071922</v>
      </c>
      <c r="CO47" s="17">
        <f t="shared" si="125"/>
        <v>2.829972471628396</v>
      </c>
      <c r="CP47" s="17">
        <f t="shared" si="125"/>
        <v>4.1218911842080432</v>
      </c>
      <c r="CR47" s="67">
        <f t="shared" si="126"/>
        <v>24.733273887829579</v>
      </c>
      <c r="CS47" s="68">
        <f t="shared" si="127"/>
        <v>34.54653423507775</v>
      </c>
      <c r="CT47" s="68">
        <f t="shared" si="128"/>
        <v>59.279808122907326</v>
      </c>
    </row>
    <row r="48" spans="1:98" x14ac:dyDescent="0.3">
      <c r="A48" t="str">
        <f t="shared" si="95"/>
        <v>22 Health professionals</v>
      </c>
      <c r="B48" s="17">
        <f t="shared" si="96"/>
        <v>16.526445254645267</v>
      </c>
      <c r="C48" s="17">
        <f t="shared" si="96"/>
        <v>17.749823500257019</v>
      </c>
      <c r="D48" s="17">
        <f t="shared" si="96"/>
        <v>17.509336863154207</v>
      </c>
      <c r="E48" s="17">
        <f t="shared" si="96"/>
        <v>18.111949073785631</v>
      </c>
      <c r="F48" s="17">
        <f t="shared" si="96"/>
        <v>17.94472504885854</v>
      </c>
      <c r="H48" s="67">
        <f t="shared" si="129"/>
        <v>83.207074669788554</v>
      </c>
      <c r="I48" s="68">
        <f t="shared" si="130"/>
        <v>72.394642750009751</v>
      </c>
      <c r="J48" s="68">
        <f t="shared" si="131"/>
        <v>155.60171741979829</v>
      </c>
      <c r="L48" t="str">
        <f t="shared" si="132"/>
        <v>22 Health professionals</v>
      </c>
      <c r="M48" s="17">
        <f t="shared" si="97"/>
        <v>7.1105772273084051</v>
      </c>
      <c r="N48" s="17">
        <f t="shared" si="97"/>
        <v>7.5524499729257126</v>
      </c>
      <c r="O48" s="17">
        <f t="shared" si="97"/>
        <v>7.2766457894315737</v>
      </c>
      <c r="P48" s="17">
        <f t="shared" si="97"/>
        <v>7.2667407934172576</v>
      </c>
      <c r="Q48" s="17">
        <f t="shared" si="97"/>
        <v>6.9029834706314226</v>
      </c>
      <c r="S48" s="67">
        <f t="shared" si="98"/>
        <v>71.055539421683648</v>
      </c>
      <c r="T48" s="68">
        <f t="shared" si="99"/>
        <v>73.587859729286492</v>
      </c>
      <c r="U48" s="68">
        <f t="shared" si="100"/>
        <v>144.64339915097014</v>
      </c>
      <c r="W48" t="str">
        <f t="shared" si="133"/>
        <v>22 Health professionals</v>
      </c>
      <c r="X48" s="17">
        <f t="shared" si="101"/>
        <v>7.4908440361512829</v>
      </c>
      <c r="Y48" s="17">
        <f t="shared" si="101"/>
        <v>8.0191816292328859</v>
      </c>
      <c r="Z48" s="17">
        <f t="shared" si="101"/>
        <v>7.8544360099849859</v>
      </c>
      <c r="AA48" s="17">
        <f t="shared" si="101"/>
        <v>8.1308209703016185</v>
      </c>
      <c r="AB48" s="17">
        <f t="shared" si="101"/>
        <v>7.8704009881730181</v>
      </c>
      <c r="AD48" s="67">
        <f t="shared" si="102"/>
        <v>19.14452071501788</v>
      </c>
      <c r="AE48" s="68">
        <f t="shared" si="103"/>
        <v>64.550116912169443</v>
      </c>
      <c r="AF48" s="68">
        <f t="shared" si="104"/>
        <v>83.694637627187319</v>
      </c>
      <c r="AH48" t="str">
        <f t="shared" si="134"/>
        <v>22 Health professionals</v>
      </c>
      <c r="AI48" s="17">
        <f t="shared" si="105"/>
        <v>13.431062321950254</v>
      </c>
      <c r="AJ48" s="17">
        <f t="shared" si="105"/>
        <v>10.671785209891368</v>
      </c>
      <c r="AK48" s="17">
        <f t="shared" si="105"/>
        <v>9.4793006624697451</v>
      </c>
      <c r="AL48" s="17">
        <f t="shared" si="105"/>
        <v>5.6658037375756063</v>
      </c>
      <c r="AM48" s="17">
        <f t="shared" si="105"/>
        <v>1.9485409597503647</v>
      </c>
      <c r="AO48" s="67">
        <f t="shared" si="106"/>
        <v>-77.481253573132065</v>
      </c>
      <c r="AP48" s="68">
        <f t="shared" si="107"/>
        <v>19.936330773814795</v>
      </c>
      <c r="AQ48" s="68">
        <f t="shared" si="108"/>
        <v>-57.544922799317263</v>
      </c>
      <c r="AS48" t="str">
        <f t="shared" si="135"/>
        <v>22 Health professionals</v>
      </c>
      <c r="AT48" s="17">
        <f t="shared" si="109"/>
        <v>1.874756327668117</v>
      </c>
      <c r="AU48" s="17">
        <f t="shared" si="109"/>
        <v>2.0291786747097427</v>
      </c>
      <c r="AV48" s="17">
        <f t="shared" si="109"/>
        <v>2.1797294423633389</v>
      </c>
      <c r="AW48" s="17">
        <f t="shared" si="109"/>
        <v>2.1959523971887136</v>
      </c>
      <c r="AX48" s="17">
        <f t="shared" si="109"/>
        <v>2.1237998662564364</v>
      </c>
      <c r="AZ48" s="67">
        <f t="shared" si="110"/>
        <v>15.019991359576016</v>
      </c>
      <c r="BA48" s="68">
        <f t="shared" si="111"/>
        <v>55.31245774310478</v>
      </c>
      <c r="BB48" s="68">
        <f t="shared" si="112"/>
        <v>70.332449102680798</v>
      </c>
      <c r="BD48" t="str">
        <f t="shared" si="136"/>
        <v>22 Health professionals</v>
      </c>
      <c r="BE48" s="17">
        <f t="shared" si="113"/>
        <v>1.8784125409713182</v>
      </c>
      <c r="BF48" s="17">
        <f t="shared" si="113"/>
        <v>2.2847444036941487</v>
      </c>
      <c r="BG48" s="17">
        <f t="shared" si="113"/>
        <v>2.3261464780617045</v>
      </c>
      <c r="BH48" s="17">
        <f t="shared" si="113"/>
        <v>2.5665449719746749</v>
      </c>
      <c r="BI48" s="17">
        <f t="shared" si="113"/>
        <v>2.7136436642159047</v>
      </c>
      <c r="BK48" s="67">
        <f t="shared" si="114"/>
        <v>16.220702964669595</v>
      </c>
      <c r="BL48" s="68">
        <f t="shared" si="115"/>
        <v>60.907456322528262</v>
      </c>
      <c r="BM48" s="68">
        <f t="shared" si="116"/>
        <v>77.128159287197846</v>
      </c>
      <c r="BO48" t="str">
        <f t="shared" si="137"/>
        <v>22 Health professionals</v>
      </c>
      <c r="BP48" s="17">
        <f t="shared" si="117"/>
        <v>1.4177502958037251</v>
      </c>
      <c r="BQ48" s="17">
        <f t="shared" si="117"/>
        <v>1.6595119682695114</v>
      </c>
      <c r="BR48" s="17">
        <f t="shared" si="117"/>
        <v>1.72602545192833</v>
      </c>
      <c r="BS48" s="17">
        <f t="shared" si="117"/>
        <v>1.7812431225972762</v>
      </c>
      <c r="BT48" s="17">
        <f t="shared" si="117"/>
        <v>1.6818548615826063</v>
      </c>
      <c r="BV48" s="67">
        <f t="shared" si="118"/>
        <v>-21.893472042735578</v>
      </c>
      <c r="BW48" s="68">
        <f t="shared" si="119"/>
        <v>44.111444936301922</v>
      </c>
      <c r="BX48" s="68">
        <f t="shared" si="120"/>
        <v>22.217972893566337</v>
      </c>
      <c r="BZ48" t="str">
        <f t="shared" si="138"/>
        <v>22 Health professionals</v>
      </c>
      <c r="CA48" s="17">
        <f t="shared" si="121"/>
        <v>1.2478485732228084</v>
      </c>
      <c r="CB48" s="17">
        <f t="shared" si="121"/>
        <v>1.534412107516506</v>
      </c>
      <c r="CC48" s="17">
        <f t="shared" si="121"/>
        <v>1.4843822856670827</v>
      </c>
      <c r="CD48" s="17">
        <f t="shared" si="121"/>
        <v>1.6095831619002472</v>
      </c>
      <c r="CE48" s="17">
        <f t="shared" si="121"/>
        <v>1.4985799319300808</v>
      </c>
      <c r="CG48" s="67">
        <f t="shared" si="122"/>
        <v>-39.728792113370062</v>
      </c>
      <c r="CH48" s="68">
        <f t="shared" si="123"/>
        <v>35.210246993836158</v>
      </c>
      <c r="CI48" s="68">
        <f t="shared" si="124"/>
        <v>-4.5185451195339095</v>
      </c>
      <c r="CK48" t="str">
        <f t="shared" si="139"/>
        <v>22 Health professionals</v>
      </c>
      <c r="CL48" s="17">
        <f t="shared" si="125"/>
        <v>0.40894338832756394</v>
      </c>
      <c r="CM48" s="17">
        <f t="shared" si="125"/>
        <v>0.59077557607410824</v>
      </c>
      <c r="CN48" s="17">
        <f t="shared" si="125"/>
        <v>0.69676802605490429</v>
      </c>
      <c r="CO48" s="17">
        <f t="shared" si="125"/>
        <v>1.0748659014097039</v>
      </c>
      <c r="CP48" s="17">
        <f t="shared" si="125"/>
        <v>1.9703505204106471</v>
      </c>
      <c r="CR48" s="67">
        <f t="shared" si="126"/>
        <v>72.266689864028521</v>
      </c>
      <c r="CS48" s="68">
        <f t="shared" si="127"/>
        <v>55.155743172372262</v>
      </c>
      <c r="CT48" s="68">
        <f t="shared" si="128"/>
        <v>127.42243303640078</v>
      </c>
    </row>
    <row r="49" spans="1:98" x14ac:dyDescent="0.3">
      <c r="A49" t="str">
        <f t="shared" si="95"/>
        <v>23 Teaching and other educational professionals</v>
      </c>
      <c r="B49" s="17">
        <f t="shared" si="96"/>
        <v>28.382708687211228</v>
      </c>
      <c r="C49" s="17">
        <f t="shared" si="96"/>
        <v>25.664238073427548</v>
      </c>
      <c r="D49" s="17">
        <f t="shared" si="96"/>
        <v>25.778629412924936</v>
      </c>
      <c r="E49" s="17">
        <f t="shared" si="96"/>
        <v>23.407296918386201</v>
      </c>
      <c r="F49" s="17">
        <f t="shared" si="96"/>
        <v>20.542555636863565</v>
      </c>
      <c r="H49" s="67">
        <f t="shared" si="129"/>
        <v>42.452402677774813</v>
      </c>
      <c r="I49" s="68">
        <f t="shared" si="130"/>
        <v>61.776951432522878</v>
      </c>
      <c r="J49" s="68">
        <f t="shared" si="131"/>
        <v>104.22935411029771</v>
      </c>
      <c r="L49" t="str">
        <f t="shared" si="132"/>
        <v>23 Teaching and other educational professionals</v>
      </c>
      <c r="M49" s="17">
        <f t="shared" si="97"/>
        <v>22.560947409061367</v>
      </c>
      <c r="N49" s="17">
        <f t="shared" si="97"/>
        <v>20.651431405033232</v>
      </c>
      <c r="O49" s="17">
        <f t="shared" si="97"/>
        <v>20.441217609341273</v>
      </c>
      <c r="P49" s="17">
        <f t="shared" si="97"/>
        <v>18.357277995326623</v>
      </c>
      <c r="Q49" s="17">
        <f t="shared" si="97"/>
        <v>15.665568548022366</v>
      </c>
      <c r="S49" s="67">
        <f t="shared" si="98"/>
        <v>38.188194964947279</v>
      </c>
      <c r="T49" s="68">
        <f t="shared" si="99"/>
        <v>63.279923281832772</v>
      </c>
      <c r="U49" s="68">
        <f t="shared" si="100"/>
        <v>101.46811824678007</v>
      </c>
      <c r="W49" t="str">
        <f t="shared" si="133"/>
        <v>23 Teaching and other educational professionals</v>
      </c>
      <c r="X49" s="17">
        <f t="shared" si="101"/>
        <v>7.5080151321811961</v>
      </c>
      <c r="Y49" s="17">
        <f t="shared" si="101"/>
        <v>6.1559487496195739</v>
      </c>
      <c r="Z49" s="17">
        <f t="shared" si="101"/>
        <v>6.2209923060809347</v>
      </c>
      <c r="AA49" s="17">
        <f t="shared" si="101"/>
        <v>4.9589144035489081</v>
      </c>
      <c r="AB49" s="17">
        <f t="shared" si="101"/>
        <v>3.5221692360751531</v>
      </c>
      <c r="AD49" s="67">
        <f t="shared" si="102"/>
        <v>-32.680206376746199</v>
      </c>
      <c r="AE49" s="68">
        <f t="shared" si="103"/>
        <v>42.041509223046589</v>
      </c>
      <c r="AF49" s="68">
        <f t="shared" si="104"/>
        <v>9.36130284630039</v>
      </c>
      <c r="AH49" t="str">
        <f t="shared" si="134"/>
        <v>23 Teaching and other educational professionals</v>
      </c>
      <c r="AI49" s="17">
        <f t="shared" si="105"/>
        <v>3.5209940758763865</v>
      </c>
      <c r="AJ49" s="17">
        <f t="shared" si="105"/>
        <v>2.0781683577547758</v>
      </c>
      <c r="AK49" s="17">
        <f t="shared" si="105"/>
        <v>1.8668897467462415</v>
      </c>
      <c r="AL49" s="17">
        <f t="shared" si="105"/>
        <v>1.2924895621173014</v>
      </c>
      <c r="AM49" s="17">
        <f t="shared" si="105"/>
        <v>1.1798065548803018</v>
      </c>
      <c r="AO49" s="67">
        <f t="shared" si="106"/>
        <v>-30.768601640459408</v>
      </c>
      <c r="AP49" s="68">
        <f t="shared" si="107"/>
        <v>22.573619852350703</v>
      </c>
      <c r="AQ49" s="68">
        <f t="shared" si="108"/>
        <v>-8.1949817881087057</v>
      </c>
      <c r="AS49" t="str">
        <f t="shared" si="135"/>
        <v>23 Teaching and other educational professionals</v>
      </c>
      <c r="AT49" s="17">
        <f t="shared" si="109"/>
        <v>1.0550237524919095</v>
      </c>
      <c r="AU49" s="17">
        <f t="shared" si="109"/>
        <v>0.98964695286296533</v>
      </c>
      <c r="AV49" s="17">
        <f t="shared" si="109"/>
        <v>1.0024917701856368</v>
      </c>
      <c r="AW49" s="17">
        <f t="shared" si="109"/>
        <v>0.84455190149779691</v>
      </c>
      <c r="AX49" s="17">
        <f t="shared" si="109"/>
        <v>0.68277959274666467</v>
      </c>
      <c r="AZ49" s="67">
        <f t="shared" si="110"/>
        <v>-19.598889340731318</v>
      </c>
      <c r="BA49" s="68">
        <f t="shared" si="111"/>
        <v>43.805260374965115</v>
      </c>
      <c r="BB49" s="68">
        <f t="shared" si="112"/>
        <v>24.206371034233797</v>
      </c>
      <c r="BD49" t="str">
        <f t="shared" si="136"/>
        <v>23 Teaching and other educational professionals</v>
      </c>
      <c r="BE49" s="17">
        <f t="shared" si="113"/>
        <v>0.98123503051302297</v>
      </c>
      <c r="BF49" s="17">
        <f t="shared" si="113"/>
        <v>0.97900369531130038</v>
      </c>
      <c r="BG49" s="17">
        <f t="shared" si="113"/>
        <v>1.0900684530121765</v>
      </c>
      <c r="BH49" s="17">
        <f t="shared" si="113"/>
        <v>1.0976105961196132</v>
      </c>
      <c r="BI49" s="17">
        <f t="shared" si="113"/>
        <v>1.202060493738194</v>
      </c>
      <c r="BK49" s="67">
        <f t="shared" si="114"/>
        <v>9.8601761582907876</v>
      </c>
      <c r="BL49" s="68">
        <f t="shared" si="115"/>
        <v>43.478173417004939</v>
      </c>
      <c r="BM49" s="68">
        <f t="shared" si="116"/>
        <v>53.33834957529573</v>
      </c>
      <c r="BO49" t="str">
        <f t="shared" si="137"/>
        <v>23 Teaching and other educational professionals</v>
      </c>
      <c r="BP49" s="17">
        <f t="shared" si="117"/>
        <v>0.75998240091279079</v>
      </c>
      <c r="BQ49" s="17">
        <f t="shared" si="117"/>
        <v>0.77659329615898598</v>
      </c>
      <c r="BR49" s="17">
        <f t="shared" si="117"/>
        <v>0.84126791671014933</v>
      </c>
      <c r="BS49" s="17">
        <f t="shared" si="117"/>
        <v>0.82307916788499325</v>
      </c>
      <c r="BT49" s="17">
        <f t="shared" si="117"/>
        <v>0.86175366890642846</v>
      </c>
      <c r="BV49" s="67">
        <f t="shared" si="118"/>
        <v>-17.890231485990878</v>
      </c>
      <c r="BW49" s="68">
        <f t="shared" si="119"/>
        <v>41.849871249824055</v>
      </c>
      <c r="BX49" s="68">
        <f t="shared" si="120"/>
        <v>23.959639763833177</v>
      </c>
      <c r="BZ49" t="str">
        <f t="shared" si="138"/>
        <v>23 Teaching and other educational professionals</v>
      </c>
      <c r="CA49" s="17">
        <f t="shared" si="121"/>
        <v>0.79042774065380039</v>
      </c>
      <c r="CB49" s="17">
        <f t="shared" si="121"/>
        <v>0.84408083038158055</v>
      </c>
      <c r="CC49" s="17">
        <f t="shared" si="121"/>
        <v>0.95831062511951648</v>
      </c>
      <c r="CD49" s="17">
        <f t="shared" si="121"/>
        <v>1.0122269674769129</v>
      </c>
      <c r="CE49" s="17">
        <f t="shared" si="121"/>
        <v>1.2214586813246104</v>
      </c>
      <c r="CG49" s="67">
        <f t="shared" si="122"/>
        <v>-23.906383936314445</v>
      </c>
      <c r="CH49" s="68">
        <f t="shared" si="123"/>
        <v>37.546503431365011</v>
      </c>
      <c r="CI49" s="68">
        <f t="shared" si="124"/>
        <v>13.640119495050563</v>
      </c>
      <c r="CK49" t="str">
        <f t="shared" si="139"/>
        <v>23 Teaching and other educational professionals</v>
      </c>
      <c r="CL49" s="17">
        <f t="shared" si="125"/>
        <v>0.39719755714434601</v>
      </c>
      <c r="CM49" s="17">
        <f t="shared" si="125"/>
        <v>0.51776466316074587</v>
      </c>
      <c r="CN49" s="17">
        <f t="shared" si="125"/>
        <v>0.68998391994305441</v>
      </c>
      <c r="CO49" s="17">
        <f t="shared" si="125"/>
        <v>0.93708467487466451</v>
      </c>
      <c r="CP49" s="17">
        <f t="shared" si="125"/>
        <v>1.1996200961773897</v>
      </c>
      <c r="CR49" s="67">
        <f t="shared" si="126"/>
        <v>5.9133712170092698</v>
      </c>
      <c r="CS49" s="68">
        <f t="shared" si="127"/>
        <v>42.083624375921197</v>
      </c>
      <c r="CT49" s="68">
        <f t="shared" si="128"/>
        <v>47.99699559293046</v>
      </c>
    </row>
    <row r="50" spans="1:98" x14ac:dyDescent="0.3">
      <c r="A50" t="str">
        <f t="shared" si="95"/>
        <v>24 Business, media and public service professionals</v>
      </c>
      <c r="B50" s="17">
        <f t="shared" si="96"/>
        <v>8.1365337019207367</v>
      </c>
      <c r="C50" s="17">
        <f t="shared" si="96"/>
        <v>8.7319410554762644</v>
      </c>
      <c r="D50" s="17">
        <f t="shared" si="96"/>
        <v>9.1292260896470818</v>
      </c>
      <c r="E50" s="17">
        <f t="shared" si="96"/>
        <v>10.229193343773154</v>
      </c>
      <c r="F50" s="17">
        <f t="shared" si="96"/>
        <v>10.958547225138449</v>
      </c>
      <c r="H50" s="67">
        <f t="shared" si="129"/>
        <v>114.58242594367896</v>
      </c>
      <c r="I50" s="68">
        <f t="shared" si="130"/>
        <v>79.379829103833004</v>
      </c>
      <c r="J50" s="68">
        <f t="shared" si="131"/>
        <v>193.96225504751197</v>
      </c>
      <c r="L50" t="str">
        <f t="shared" si="132"/>
        <v>24 Business, media and public service professionals</v>
      </c>
      <c r="M50" s="17">
        <f t="shared" si="97"/>
        <v>14.539078221464196</v>
      </c>
      <c r="N50" s="17">
        <f t="shared" si="97"/>
        <v>15.415801577230523</v>
      </c>
      <c r="O50" s="17">
        <f t="shared" si="97"/>
        <v>15.769338690720916</v>
      </c>
      <c r="P50" s="17">
        <f t="shared" si="97"/>
        <v>16.494170101190257</v>
      </c>
      <c r="Q50" s="17">
        <f t="shared" si="97"/>
        <v>16.165080292643825</v>
      </c>
      <c r="S50" s="67">
        <f t="shared" si="98"/>
        <v>84.839987081330719</v>
      </c>
      <c r="T50" s="68">
        <f t="shared" si="99"/>
        <v>72.373669623703137</v>
      </c>
      <c r="U50" s="68">
        <f t="shared" si="100"/>
        <v>157.21365670503388</v>
      </c>
      <c r="W50" t="str">
        <f t="shared" si="133"/>
        <v>24 Business, media and public service professionals</v>
      </c>
      <c r="X50" s="17">
        <f t="shared" si="101"/>
        <v>12.60310318767179</v>
      </c>
      <c r="Y50" s="17">
        <f t="shared" si="101"/>
        <v>13.044570391929927</v>
      </c>
      <c r="Z50" s="17">
        <f t="shared" si="101"/>
        <v>13.525496325399263</v>
      </c>
      <c r="AA50" s="17">
        <f t="shared" si="101"/>
        <v>13.615821473544946</v>
      </c>
      <c r="AB50" s="17">
        <f t="shared" si="101"/>
        <v>12.473510107479399</v>
      </c>
      <c r="AD50" s="67">
        <f t="shared" si="102"/>
        <v>9.6548116419355239</v>
      </c>
      <c r="AE50" s="68">
        <f t="shared" si="103"/>
        <v>55.556356229687509</v>
      </c>
      <c r="AF50" s="68">
        <f t="shared" si="104"/>
        <v>65.211167871623033</v>
      </c>
      <c r="AH50" t="str">
        <f t="shared" si="134"/>
        <v>24 Business, media and public service professionals</v>
      </c>
      <c r="AI50" s="17">
        <f t="shared" si="105"/>
        <v>4.2764292483643391</v>
      </c>
      <c r="AJ50" s="17">
        <f t="shared" si="105"/>
        <v>4.1621294554399153</v>
      </c>
      <c r="AK50" s="17">
        <f t="shared" si="105"/>
        <v>4.4907719771477481</v>
      </c>
      <c r="AL50" s="17">
        <f t="shared" si="105"/>
        <v>4.3436411019689531</v>
      </c>
      <c r="AM50" s="17">
        <f t="shared" si="105"/>
        <v>4.0880933292385828</v>
      </c>
      <c r="AO50" s="67">
        <f t="shared" si="106"/>
        <v>-0.27345632168269457</v>
      </c>
      <c r="AP50" s="68">
        <f t="shared" si="107"/>
        <v>37.60996471824339</v>
      </c>
      <c r="AQ50" s="68">
        <f t="shared" si="108"/>
        <v>37.336508396560696</v>
      </c>
      <c r="AS50" t="str">
        <f t="shared" si="135"/>
        <v>24 Business, media and public service professionals</v>
      </c>
      <c r="AT50" s="17">
        <f t="shared" si="109"/>
        <v>6.9694083219144831</v>
      </c>
      <c r="AU50" s="17">
        <f t="shared" si="109"/>
        <v>7.2391526186382658</v>
      </c>
      <c r="AV50" s="17">
        <f t="shared" si="109"/>
        <v>7.6480144040222493</v>
      </c>
      <c r="AW50" s="17">
        <f t="shared" si="109"/>
        <v>7.828749979036048</v>
      </c>
      <c r="AX50" s="17">
        <f t="shared" si="109"/>
        <v>7.3715683140034596</v>
      </c>
      <c r="AZ50" s="67">
        <f t="shared" si="110"/>
        <v>13.781991096818057</v>
      </c>
      <c r="BA50" s="68">
        <f t="shared" si="111"/>
        <v>53.331218147348913</v>
      </c>
      <c r="BB50" s="68">
        <f t="shared" si="112"/>
        <v>67.113209244166981</v>
      </c>
      <c r="BD50" t="str">
        <f t="shared" si="136"/>
        <v>24 Business, media and public service professionals</v>
      </c>
      <c r="BE50" s="17">
        <f t="shared" si="113"/>
        <v>3.7534764866957135</v>
      </c>
      <c r="BF50" s="17">
        <f t="shared" si="113"/>
        <v>4.1309228170305925</v>
      </c>
      <c r="BG50" s="17">
        <f t="shared" si="113"/>
        <v>4.5690807354920357</v>
      </c>
      <c r="BH50" s="17">
        <f t="shared" si="113"/>
        <v>4.7436211670555917</v>
      </c>
      <c r="BI50" s="17">
        <f t="shared" si="113"/>
        <v>4.8203398052855801</v>
      </c>
      <c r="BK50" s="67">
        <f t="shared" si="114"/>
        <v>5.1033504511974064</v>
      </c>
      <c r="BL50" s="68">
        <f t="shared" si="115"/>
        <v>42.306110317230576</v>
      </c>
      <c r="BM50" s="68">
        <f t="shared" si="116"/>
        <v>47.409460768427984</v>
      </c>
      <c r="BO50" t="str">
        <f t="shared" si="137"/>
        <v>24 Business, media and public service professionals</v>
      </c>
      <c r="BP50" s="17">
        <f t="shared" si="117"/>
        <v>2.7009508849271566</v>
      </c>
      <c r="BQ50" s="17">
        <f t="shared" si="117"/>
        <v>2.9269558769765558</v>
      </c>
      <c r="BR50" s="17">
        <f t="shared" si="117"/>
        <v>3.236668687501127</v>
      </c>
      <c r="BS50" s="17">
        <f t="shared" si="117"/>
        <v>3.2306538965828304</v>
      </c>
      <c r="BT50" s="17">
        <f t="shared" si="117"/>
        <v>3.1216800104543729</v>
      </c>
      <c r="BV50" s="67">
        <f t="shared" si="118"/>
        <v>-22.68991507287468</v>
      </c>
      <c r="BW50" s="68">
        <f t="shared" si="119"/>
        <v>36.139406804514614</v>
      </c>
      <c r="BX50" s="68">
        <f t="shared" si="120"/>
        <v>13.449491731639934</v>
      </c>
      <c r="BZ50" t="str">
        <f t="shared" si="138"/>
        <v>24 Business, media and public service professionals</v>
      </c>
      <c r="CA50" s="17">
        <f t="shared" si="121"/>
        <v>2.4472050539188128</v>
      </c>
      <c r="CB50" s="17">
        <f t="shared" si="121"/>
        <v>2.8156614757340841</v>
      </c>
      <c r="CC50" s="17">
        <f t="shared" si="121"/>
        <v>3.1941092782397997</v>
      </c>
      <c r="CD50" s="17">
        <f t="shared" si="121"/>
        <v>3.3696881744648515</v>
      </c>
      <c r="CE50" s="17">
        <f t="shared" si="121"/>
        <v>3.3109081613162248</v>
      </c>
      <c r="CG50" s="67">
        <f t="shared" si="122"/>
        <v>-38.116750620957809</v>
      </c>
      <c r="CH50" s="68">
        <f t="shared" si="123"/>
        <v>31.320174796776662</v>
      </c>
      <c r="CI50" s="68">
        <f t="shared" si="124"/>
        <v>-6.7965758241811436</v>
      </c>
      <c r="CK50" t="str">
        <f t="shared" si="139"/>
        <v>24 Business, media and public service professionals</v>
      </c>
      <c r="CL50" s="17">
        <f t="shared" si="125"/>
        <v>1.4708350959024989</v>
      </c>
      <c r="CM50" s="17">
        <f t="shared" si="125"/>
        <v>1.9765579144361733</v>
      </c>
      <c r="CN50" s="17">
        <f t="shared" si="125"/>
        <v>2.2580334931236248</v>
      </c>
      <c r="CO50" s="17">
        <f t="shared" si="125"/>
        <v>2.8806239630671668</v>
      </c>
      <c r="CP50" s="17">
        <f t="shared" si="125"/>
        <v>3.8846348562460027</v>
      </c>
      <c r="CR50" s="67">
        <f t="shared" si="126"/>
        <v>4.8011026877692382</v>
      </c>
      <c r="CS50" s="68">
        <f t="shared" si="127"/>
        <v>35.957560865486151</v>
      </c>
      <c r="CT50" s="68">
        <f t="shared" si="128"/>
        <v>40.758663553255388</v>
      </c>
    </row>
    <row r="51" spans="1:98" x14ac:dyDescent="0.3">
      <c r="A51" t="str">
        <f t="shared" si="95"/>
        <v>31 Science, engineering and technology associate professionals</v>
      </c>
      <c r="B51" s="17">
        <f t="shared" si="96"/>
        <v>2.1931449048793383</v>
      </c>
      <c r="C51" s="17">
        <f t="shared" si="96"/>
        <v>2.4521398413822815</v>
      </c>
      <c r="D51" s="17">
        <f t="shared" si="96"/>
        <v>2.5829935366806183</v>
      </c>
      <c r="E51" s="17">
        <f t="shared" si="96"/>
        <v>2.4005685948131865</v>
      </c>
      <c r="F51" s="17">
        <f t="shared" si="96"/>
        <v>2.6416086121463791</v>
      </c>
      <c r="H51" s="67">
        <f t="shared" si="129"/>
        <v>82.818559396726144</v>
      </c>
      <c r="I51" s="68">
        <f t="shared" si="130"/>
        <v>64.669574062948143</v>
      </c>
      <c r="J51" s="68">
        <f t="shared" si="131"/>
        <v>147.48813345967429</v>
      </c>
      <c r="L51" t="str">
        <f t="shared" si="132"/>
        <v>31 Science, engineering and technology associate professionals</v>
      </c>
      <c r="M51" s="17">
        <f t="shared" si="97"/>
        <v>1.833812806481552</v>
      </c>
      <c r="N51" s="17">
        <f t="shared" si="97"/>
        <v>1.9332898924090989</v>
      </c>
      <c r="O51" s="17">
        <f t="shared" si="97"/>
        <v>2.024865598847847</v>
      </c>
      <c r="P51" s="17">
        <f t="shared" si="97"/>
        <v>1.7264727397435615</v>
      </c>
      <c r="Q51" s="17">
        <f t="shared" si="97"/>
        <v>1.6988909655450433</v>
      </c>
      <c r="S51" s="67">
        <f t="shared" si="98"/>
        <v>51.286734610932783</v>
      </c>
      <c r="T51" s="68">
        <f t="shared" si="99"/>
        <v>53.554091833127551</v>
      </c>
      <c r="U51" s="68">
        <f t="shared" si="100"/>
        <v>104.84082644406033</v>
      </c>
      <c r="W51" t="str">
        <f t="shared" si="133"/>
        <v>31 Science, engineering and technology associate professionals</v>
      </c>
      <c r="X51" s="17">
        <f t="shared" si="101"/>
        <v>2.2250024828187871</v>
      </c>
      <c r="Y51" s="17">
        <f t="shared" si="101"/>
        <v>2.439209743534263</v>
      </c>
      <c r="Z51" s="17">
        <f t="shared" si="101"/>
        <v>2.5096616658636406</v>
      </c>
      <c r="AA51" s="17">
        <f t="shared" si="101"/>
        <v>2.1621466865509134</v>
      </c>
      <c r="AB51" s="17">
        <f t="shared" si="101"/>
        <v>2.1056442962903446</v>
      </c>
      <c r="AD51" s="67">
        <f t="shared" si="102"/>
        <v>-0.238711015242692</v>
      </c>
      <c r="AE51" s="68">
        <f t="shared" si="103"/>
        <v>42.884017728052804</v>
      </c>
      <c r="AF51" s="68">
        <f t="shared" si="104"/>
        <v>42.645306712810111</v>
      </c>
      <c r="AH51" t="str">
        <f t="shared" si="134"/>
        <v>31 Science, engineering and technology associate professionals</v>
      </c>
      <c r="AI51" s="17">
        <f t="shared" si="105"/>
        <v>1.2490165310240617</v>
      </c>
      <c r="AJ51" s="17">
        <f t="shared" si="105"/>
        <v>1.5342107711838542</v>
      </c>
      <c r="AK51" s="17">
        <f t="shared" si="105"/>
        <v>1.6504883542182047</v>
      </c>
      <c r="AL51" s="17">
        <f t="shared" si="105"/>
        <v>1.6805448337635915</v>
      </c>
      <c r="AM51" s="17">
        <f t="shared" si="105"/>
        <v>1.9774304905564279</v>
      </c>
      <c r="AO51" s="67">
        <f t="shared" si="106"/>
        <v>31.250126773517785</v>
      </c>
      <c r="AP51" s="68">
        <f t="shared" si="107"/>
        <v>52.863982187033997</v>
      </c>
      <c r="AQ51" s="68">
        <f t="shared" si="108"/>
        <v>84.114108960551775</v>
      </c>
      <c r="AS51" t="str">
        <f t="shared" si="135"/>
        <v>31 Science, engineering and technology associate professionals</v>
      </c>
      <c r="AT51" s="17">
        <f t="shared" si="109"/>
        <v>3.4877091869612582</v>
      </c>
      <c r="AU51" s="17">
        <f t="shared" si="109"/>
        <v>3.5420854180004948</v>
      </c>
      <c r="AV51" s="17">
        <f t="shared" si="109"/>
        <v>3.5971093529467359</v>
      </c>
      <c r="AW51" s="17">
        <f t="shared" si="109"/>
        <v>2.8521225191800941</v>
      </c>
      <c r="AX51" s="17">
        <f t="shared" si="109"/>
        <v>2.482307715547575</v>
      </c>
      <c r="AZ51" s="67">
        <f t="shared" si="110"/>
        <v>-18.536266799636593</v>
      </c>
      <c r="BA51" s="68">
        <f t="shared" si="111"/>
        <v>32.57257092535307</v>
      </c>
      <c r="BB51" s="68">
        <f t="shared" si="112"/>
        <v>14.036304125716475</v>
      </c>
      <c r="BD51" t="str">
        <f t="shared" si="136"/>
        <v>31 Science, engineering and technology associate professionals</v>
      </c>
      <c r="BE51" s="17">
        <f t="shared" si="113"/>
        <v>1.4962050955568633</v>
      </c>
      <c r="BF51" s="17">
        <f t="shared" si="113"/>
        <v>1.5365320611380822</v>
      </c>
      <c r="BG51" s="17">
        <f t="shared" si="113"/>
        <v>1.7135841045961706</v>
      </c>
      <c r="BH51" s="17">
        <f t="shared" si="113"/>
        <v>1.2616669107454046</v>
      </c>
      <c r="BI51" s="17">
        <f t="shared" si="113"/>
        <v>1.0311720563094591</v>
      </c>
      <c r="BK51" s="67">
        <f t="shared" si="114"/>
        <v>-40.049411760990289</v>
      </c>
      <c r="BL51" s="68">
        <f t="shared" si="115"/>
        <v>24.782380537618106</v>
      </c>
      <c r="BM51" s="68">
        <f t="shared" si="116"/>
        <v>-15.267031223372179</v>
      </c>
      <c r="BO51" t="str">
        <f t="shared" si="137"/>
        <v>31 Science, engineering and technology associate professionals</v>
      </c>
      <c r="BP51" s="17">
        <f t="shared" si="117"/>
        <v>1.0996776130169053</v>
      </c>
      <c r="BQ51" s="17">
        <f t="shared" si="117"/>
        <v>1.2425267829230358</v>
      </c>
      <c r="BR51" s="17">
        <f t="shared" si="117"/>
        <v>1.4184271779432698</v>
      </c>
      <c r="BS51" s="17">
        <f t="shared" si="117"/>
        <v>1.1824981922807976</v>
      </c>
      <c r="BT51" s="17">
        <f t="shared" si="117"/>
        <v>1.2875698890635139</v>
      </c>
      <c r="BV51" s="67">
        <f t="shared" si="118"/>
        <v>-27.237136642694949</v>
      </c>
      <c r="BW51" s="68">
        <f t="shared" si="119"/>
        <v>29.757823098474841</v>
      </c>
      <c r="BX51" s="68">
        <f t="shared" si="120"/>
        <v>2.5206864557798951</v>
      </c>
      <c r="BZ51" t="str">
        <f t="shared" si="138"/>
        <v>31 Science, engineering and technology associate professionals</v>
      </c>
      <c r="CA51" s="17">
        <f t="shared" si="121"/>
        <v>1.2549270929289105</v>
      </c>
      <c r="CB51" s="17">
        <f t="shared" si="121"/>
        <v>1.5210236578738303</v>
      </c>
      <c r="CC51" s="17">
        <f t="shared" si="121"/>
        <v>1.7919246828944646</v>
      </c>
      <c r="CD51" s="17">
        <f t="shared" si="121"/>
        <v>1.6019175878270338</v>
      </c>
      <c r="CE51" s="17">
        <f t="shared" si="121"/>
        <v>1.9116424800328311</v>
      </c>
      <c r="CG51" s="67">
        <f t="shared" si="122"/>
        <v>-36.31125858668927</v>
      </c>
      <c r="CH51" s="68">
        <f t="shared" si="123"/>
        <v>26.438015242336306</v>
      </c>
      <c r="CI51" s="68">
        <f t="shared" si="124"/>
        <v>-9.8732433443529644</v>
      </c>
      <c r="CK51" t="str">
        <f t="shared" si="139"/>
        <v>31 Science, engineering and technology associate professionals</v>
      </c>
      <c r="CL51" s="17">
        <f t="shared" si="125"/>
        <v>0.63989616773729263</v>
      </c>
      <c r="CM51" s="17">
        <f t="shared" si="125"/>
        <v>0.94711762030411495</v>
      </c>
      <c r="CN51" s="17">
        <f t="shared" si="125"/>
        <v>1.227231809225179</v>
      </c>
      <c r="CO51" s="17">
        <f t="shared" si="125"/>
        <v>1.5732893852284959</v>
      </c>
      <c r="CP51" s="17">
        <f t="shared" si="125"/>
        <v>2.8138000238953191</v>
      </c>
      <c r="CR51" s="67">
        <f t="shared" si="126"/>
        <v>39.673062122636225</v>
      </c>
      <c r="CS51" s="68">
        <f t="shared" si="127"/>
        <v>43.158777304301402</v>
      </c>
      <c r="CT51" s="68">
        <f t="shared" si="128"/>
        <v>82.831839426937634</v>
      </c>
    </row>
    <row r="52" spans="1:98" x14ac:dyDescent="0.3">
      <c r="A52" t="str">
        <f t="shared" si="95"/>
        <v>32 Health and social care associate professionals</v>
      </c>
      <c r="B52" s="17">
        <f t="shared" si="96"/>
        <v>0.5441457623884477</v>
      </c>
      <c r="C52" s="17">
        <f t="shared" si="96"/>
        <v>0.5917032849981716</v>
      </c>
      <c r="D52" s="17">
        <f t="shared" si="96"/>
        <v>0.53543409195578562</v>
      </c>
      <c r="E52" s="17">
        <f t="shared" si="96"/>
        <v>0.5841445927998522</v>
      </c>
      <c r="F52" s="17">
        <f t="shared" si="96"/>
        <v>0.68424209895101895</v>
      </c>
      <c r="H52" s="67">
        <f t="shared" si="129"/>
        <v>128.44355045967217</v>
      </c>
      <c r="I52" s="68">
        <f t="shared" si="130"/>
        <v>98.735406687803575</v>
      </c>
      <c r="J52" s="68">
        <f t="shared" si="131"/>
        <v>227.17895714747573</v>
      </c>
      <c r="L52" t="str">
        <f t="shared" si="132"/>
        <v>32 Health and social care associate professionals</v>
      </c>
      <c r="M52" s="17">
        <f t="shared" si="97"/>
        <v>1.7376999364093155</v>
      </c>
      <c r="N52" s="17">
        <f t="shared" si="97"/>
        <v>1.8586189221787039</v>
      </c>
      <c r="O52" s="17">
        <f t="shared" si="97"/>
        <v>1.8392519776950551</v>
      </c>
      <c r="P52" s="17">
        <f t="shared" si="97"/>
        <v>1.8526075981693442</v>
      </c>
      <c r="Q52" s="17">
        <f t="shared" si="97"/>
        <v>2.0102488344581024</v>
      </c>
      <c r="S52" s="67">
        <f t="shared" si="98"/>
        <v>97.07890092777744</v>
      </c>
      <c r="T52" s="68">
        <f t="shared" si="99"/>
        <v>85.776353423320742</v>
      </c>
      <c r="U52" s="68">
        <f t="shared" si="100"/>
        <v>182.85525435109818</v>
      </c>
      <c r="W52" t="str">
        <f t="shared" si="133"/>
        <v>32 Health and social care associate professionals</v>
      </c>
      <c r="X52" s="17">
        <f t="shared" si="101"/>
        <v>2.5663923988988584</v>
      </c>
      <c r="Y52" s="17">
        <f t="shared" si="101"/>
        <v>2.7656490270189815</v>
      </c>
      <c r="Z52" s="17">
        <f t="shared" si="101"/>
        <v>2.7718332494756379</v>
      </c>
      <c r="AA52" s="17">
        <f t="shared" si="101"/>
        <v>2.8598360365227888</v>
      </c>
      <c r="AB52" s="17">
        <f t="shared" si="101"/>
        <v>3.0121589941724731</v>
      </c>
      <c r="AD52" s="67">
        <f t="shared" si="102"/>
        <v>29.212048762462416</v>
      </c>
      <c r="AE52" s="68">
        <f t="shared" si="103"/>
        <v>73.265065647198938</v>
      </c>
      <c r="AF52" s="68">
        <f t="shared" si="104"/>
        <v>102.47711440966134</v>
      </c>
      <c r="AH52" t="str">
        <f t="shared" si="134"/>
        <v>32 Health and social care associate professionals</v>
      </c>
      <c r="AI52" s="17">
        <f t="shared" si="105"/>
        <v>6.1592590605982434</v>
      </c>
      <c r="AJ52" s="17">
        <f t="shared" si="105"/>
        <v>5.3691141131804843</v>
      </c>
      <c r="AK52" s="17">
        <f t="shared" si="105"/>
        <v>5.1150684505056692</v>
      </c>
      <c r="AL52" s="17">
        <f t="shared" si="105"/>
        <v>3.7850759060771733</v>
      </c>
      <c r="AM52" s="17">
        <f t="shared" si="105"/>
        <v>2.0372755543242906</v>
      </c>
      <c r="AO52" s="67">
        <f t="shared" si="106"/>
        <v>-56.367580746314829</v>
      </c>
      <c r="AP52" s="68">
        <f t="shared" si="107"/>
        <v>29.216485344822384</v>
      </c>
      <c r="AQ52" s="68">
        <f t="shared" si="108"/>
        <v>-27.151095401492437</v>
      </c>
      <c r="AS52" t="str">
        <f t="shared" si="135"/>
        <v>32 Health and social care associate professionals</v>
      </c>
      <c r="AT52" s="17">
        <f t="shared" si="109"/>
        <v>1.4115071479681629</v>
      </c>
      <c r="AU52" s="17">
        <f t="shared" si="109"/>
        <v>1.5010045771683791</v>
      </c>
      <c r="AV52" s="17">
        <f t="shared" si="109"/>
        <v>1.6173399139056663</v>
      </c>
      <c r="AW52" s="17">
        <f t="shared" si="109"/>
        <v>1.4877779567373932</v>
      </c>
      <c r="AX52" s="17">
        <f t="shared" si="109"/>
        <v>1.4365036944122536</v>
      </c>
      <c r="AZ52" s="67">
        <f t="shared" si="110"/>
        <v>4.849840623731966</v>
      </c>
      <c r="BA52" s="68">
        <f t="shared" si="111"/>
        <v>57.406164149109784</v>
      </c>
      <c r="BB52" s="68">
        <f t="shared" si="112"/>
        <v>62.256004772841742</v>
      </c>
      <c r="BD52" t="str">
        <f t="shared" si="136"/>
        <v>32 Health and social care associate professionals</v>
      </c>
      <c r="BE52" s="17">
        <f t="shared" si="113"/>
        <v>1.4201403089980267</v>
      </c>
      <c r="BF52" s="17">
        <f t="shared" si="113"/>
        <v>1.6943295314628126</v>
      </c>
      <c r="BG52" s="17">
        <f t="shared" si="113"/>
        <v>1.7792849526849823</v>
      </c>
      <c r="BH52" s="17">
        <f t="shared" si="113"/>
        <v>1.8327928576762127</v>
      </c>
      <c r="BI52" s="17">
        <f t="shared" si="113"/>
        <v>2.065717823565218</v>
      </c>
      <c r="BK52" s="67">
        <f t="shared" si="114"/>
        <v>15.662674107447335</v>
      </c>
      <c r="BL52" s="68">
        <f t="shared" si="115"/>
        <v>61.172984787924712</v>
      </c>
      <c r="BM52" s="68">
        <f t="shared" si="116"/>
        <v>76.835658895372049</v>
      </c>
      <c r="BO52" t="str">
        <f t="shared" si="137"/>
        <v>32 Health and social care associate professionals</v>
      </c>
      <c r="BP52" s="17">
        <f t="shared" si="117"/>
        <v>1.1528751796510115</v>
      </c>
      <c r="BQ52" s="17">
        <f t="shared" si="117"/>
        <v>1.3027771460850486</v>
      </c>
      <c r="BR52" s="17">
        <f t="shared" si="117"/>
        <v>1.3577393423627475</v>
      </c>
      <c r="BS52" s="17">
        <f t="shared" si="117"/>
        <v>1.3084941863387254</v>
      </c>
      <c r="BT52" s="17">
        <f t="shared" si="117"/>
        <v>1.2559584589271926</v>
      </c>
      <c r="BV52" s="67">
        <f t="shared" si="118"/>
        <v>-25.851070387949687</v>
      </c>
      <c r="BW52" s="68">
        <f t="shared" si="119"/>
        <v>45.22571967846347</v>
      </c>
      <c r="BX52" s="68">
        <f t="shared" si="120"/>
        <v>19.374649290513783</v>
      </c>
      <c r="BZ52" t="str">
        <f t="shared" si="138"/>
        <v>32 Health and social care associate professionals</v>
      </c>
      <c r="CA52" s="17">
        <f t="shared" si="121"/>
        <v>0.70110700794169156</v>
      </c>
      <c r="CB52" s="17">
        <f t="shared" si="121"/>
        <v>0.69386341806982454</v>
      </c>
      <c r="CC52" s="17">
        <f t="shared" si="121"/>
        <v>0.68914554847540932</v>
      </c>
      <c r="CD52" s="17">
        <f t="shared" si="121"/>
        <v>0.65201752426652626</v>
      </c>
      <c r="CE52" s="17">
        <f t="shared" si="121"/>
        <v>0.61571870406050144</v>
      </c>
      <c r="CG52" s="67">
        <f t="shared" si="122"/>
        <v>-46.660721475846827</v>
      </c>
      <c r="CH52" s="68">
        <f t="shared" si="123"/>
        <v>31.891361358941005</v>
      </c>
      <c r="CI52" s="68">
        <f t="shared" si="124"/>
        <v>-14.769360116905823</v>
      </c>
      <c r="CK52" t="str">
        <f t="shared" si="139"/>
        <v>32 Health and social care associate professionals</v>
      </c>
      <c r="CL52" s="17">
        <f t="shared" si="125"/>
        <v>0.26328531786232151</v>
      </c>
      <c r="CM52" s="17">
        <f t="shared" si="125"/>
        <v>0.32739833780557187</v>
      </c>
      <c r="CN52" s="17">
        <f t="shared" si="125"/>
        <v>0.38069583022199316</v>
      </c>
      <c r="CO52" s="17">
        <f t="shared" si="125"/>
        <v>0.51114508928115876</v>
      </c>
      <c r="CP52" s="17">
        <f t="shared" si="125"/>
        <v>0.90987320282256878</v>
      </c>
      <c r="CR52" s="67">
        <f t="shared" si="126"/>
        <v>45.595778701212595</v>
      </c>
      <c r="CS52" s="68">
        <f t="shared" si="127"/>
        <v>49.011170967360258</v>
      </c>
      <c r="CT52" s="68">
        <f t="shared" si="128"/>
        <v>94.606949668572867</v>
      </c>
    </row>
    <row r="53" spans="1:98" x14ac:dyDescent="0.3">
      <c r="A53" t="str">
        <f t="shared" si="95"/>
        <v>33 Protective service occupations</v>
      </c>
      <c r="B53" s="17">
        <f t="shared" si="96"/>
        <v>0.26798373919173013</v>
      </c>
      <c r="C53" s="17">
        <f t="shared" si="96"/>
        <v>0.24563008704237485</v>
      </c>
      <c r="D53" s="17">
        <f t="shared" si="96"/>
        <v>0.25237499871733576</v>
      </c>
      <c r="E53" s="17">
        <f t="shared" si="96"/>
        <v>0.32706328124507744</v>
      </c>
      <c r="F53" s="17">
        <f t="shared" si="96"/>
        <v>0.40003924999376</v>
      </c>
      <c r="H53" s="67">
        <f t="shared" si="129"/>
        <v>183.35534201545661</v>
      </c>
      <c r="I53" s="68">
        <f t="shared" si="130"/>
        <v>70.364772115629194</v>
      </c>
      <c r="J53" s="68">
        <f t="shared" si="131"/>
        <v>253.72011413108581</v>
      </c>
      <c r="L53" t="str">
        <f t="shared" si="132"/>
        <v>33 Protective service occupations</v>
      </c>
      <c r="M53" s="17">
        <f t="shared" si="97"/>
        <v>0.60065709500739117</v>
      </c>
      <c r="N53" s="17">
        <f t="shared" si="97"/>
        <v>0.57743647572163392</v>
      </c>
      <c r="O53" s="17">
        <f t="shared" si="97"/>
        <v>0.610510510473107</v>
      </c>
      <c r="P53" s="17">
        <f t="shared" si="97"/>
        <v>0.76580176258969823</v>
      </c>
      <c r="Q53" s="17">
        <f t="shared" si="97"/>
        <v>0.94597774681547675</v>
      </c>
      <c r="S53" s="67">
        <f t="shared" si="98"/>
        <v>179.39544365475217</v>
      </c>
      <c r="T53" s="68">
        <f t="shared" si="99"/>
        <v>63.802210978298476</v>
      </c>
      <c r="U53" s="68">
        <f t="shared" si="100"/>
        <v>243.19765463305063</v>
      </c>
      <c r="W53" t="str">
        <f t="shared" si="133"/>
        <v>33 Protective service occupations</v>
      </c>
      <c r="X53" s="17">
        <f t="shared" si="101"/>
        <v>1.2272306421840762</v>
      </c>
      <c r="Y53" s="17">
        <f t="shared" si="101"/>
        <v>1.2580066869328135</v>
      </c>
      <c r="Z53" s="17">
        <f t="shared" si="101"/>
        <v>1.3503320721314283</v>
      </c>
      <c r="AA53" s="17">
        <f t="shared" si="101"/>
        <v>1.660371935025293</v>
      </c>
      <c r="AB53" s="17">
        <f t="shared" si="101"/>
        <v>2.0348439260178512</v>
      </c>
      <c r="AD53" s="67">
        <f t="shared" si="102"/>
        <v>79.177198510582187</v>
      </c>
      <c r="AE53" s="68">
        <f t="shared" si="103"/>
        <v>60.54406778949145</v>
      </c>
      <c r="AF53" s="68">
        <f t="shared" si="104"/>
        <v>139.72126630007364</v>
      </c>
      <c r="AH53" t="str">
        <f t="shared" si="134"/>
        <v>33 Protective service occupations</v>
      </c>
      <c r="AI53" s="17">
        <f t="shared" si="105"/>
        <v>1.1481617286290209</v>
      </c>
      <c r="AJ53" s="17">
        <f t="shared" si="105"/>
        <v>1.250677524907458</v>
      </c>
      <c r="AK53" s="17">
        <f t="shared" si="105"/>
        <v>1.3620504083469736</v>
      </c>
      <c r="AL53" s="17">
        <f t="shared" si="105"/>
        <v>1.7513467330152239</v>
      </c>
      <c r="AM53" s="17">
        <f t="shared" si="105"/>
        <v>2.1557062869892061</v>
      </c>
      <c r="AO53" s="67">
        <f t="shared" si="106"/>
        <v>73.383344893804292</v>
      </c>
      <c r="AP53" s="68">
        <f t="shared" si="107"/>
        <v>52.791996485122652</v>
      </c>
      <c r="AQ53" s="68">
        <f t="shared" si="108"/>
        <v>126.17534137892694</v>
      </c>
      <c r="AS53" t="str">
        <f t="shared" si="135"/>
        <v>33 Protective service occupations</v>
      </c>
      <c r="AT53" s="17">
        <f t="shared" si="109"/>
        <v>1.1299917865999447</v>
      </c>
      <c r="AU53" s="17">
        <f t="shared" si="109"/>
        <v>0.98403421415226033</v>
      </c>
      <c r="AV53" s="17">
        <f t="shared" si="109"/>
        <v>1.0238135262316321</v>
      </c>
      <c r="AW53" s="17">
        <f t="shared" si="109"/>
        <v>1.0772915807675016</v>
      </c>
      <c r="AX53" s="17">
        <f t="shared" si="109"/>
        <v>1.0615670725540691</v>
      </c>
      <c r="AZ53" s="67">
        <f t="shared" si="110"/>
        <v>22.40211107095158</v>
      </c>
      <c r="BA53" s="68">
        <f t="shared" si="111"/>
        <v>41.502277908095223</v>
      </c>
      <c r="BB53" s="68">
        <f t="shared" si="112"/>
        <v>63.9043889790468</v>
      </c>
      <c r="BD53" t="str">
        <f t="shared" si="136"/>
        <v>33 Protective service occupations</v>
      </c>
      <c r="BE53" s="17">
        <f t="shared" si="113"/>
        <v>1.0715438579967622</v>
      </c>
      <c r="BF53" s="17">
        <f t="shared" si="113"/>
        <v>0.97006266682360709</v>
      </c>
      <c r="BG53" s="17">
        <f t="shared" si="113"/>
        <v>1.0435770019040573</v>
      </c>
      <c r="BH53" s="17">
        <f t="shared" si="113"/>
        <v>1.1340521281151534</v>
      </c>
      <c r="BI53" s="17">
        <f t="shared" si="113"/>
        <v>1.094738612680163</v>
      </c>
      <c r="BK53" s="67">
        <f t="shared" si="114"/>
        <v>4.5089958407023794</v>
      </c>
      <c r="BL53" s="68">
        <f t="shared" si="115"/>
        <v>26.740918148723029</v>
      </c>
      <c r="BM53" s="68">
        <f t="shared" si="116"/>
        <v>31.249913989425409</v>
      </c>
      <c r="BO53" t="str">
        <f t="shared" si="137"/>
        <v>33 Protective service occupations</v>
      </c>
      <c r="BP53" s="17">
        <f t="shared" si="117"/>
        <v>1.1773756882803752</v>
      </c>
      <c r="BQ53" s="17">
        <f t="shared" si="117"/>
        <v>1.180512163775097</v>
      </c>
      <c r="BR53" s="17">
        <f t="shared" si="117"/>
        <v>1.2496787236405884</v>
      </c>
      <c r="BS53" s="17">
        <f t="shared" si="117"/>
        <v>1.3995928217404481</v>
      </c>
      <c r="BT53" s="17">
        <f t="shared" si="117"/>
        <v>1.3557590598737921</v>
      </c>
      <c r="BV53" s="67">
        <f t="shared" si="118"/>
        <v>-13.037873164787628</v>
      </c>
      <c r="BW53" s="68">
        <f t="shared" si="119"/>
        <v>28.910305274296626</v>
      </c>
      <c r="BX53" s="68">
        <f t="shared" si="120"/>
        <v>15.872432109508999</v>
      </c>
      <c r="BZ53" t="str">
        <f t="shared" si="138"/>
        <v>33 Protective service occupations</v>
      </c>
      <c r="CA53" s="17">
        <f t="shared" si="121"/>
        <v>0.97399335352989524</v>
      </c>
      <c r="CB53" s="17">
        <f t="shared" si="121"/>
        <v>0.98542313351035415</v>
      </c>
      <c r="CC53" s="17">
        <f t="shared" si="121"/>
        <v>1.0926349331504388</v>
      </c>
      <c r="CD53" s="17">
        <f t="shared" si="121"/>
        <v>1.3211030629013718</v>
      </c>
      <c r="CE53" s="17">
        <f t="shared" si="121"/>
        <v>1.5762914381514705</v>
      </c>
      <c r="CG53" s="67">
        <f t="shared" si="122"/>
        <v>-13.87342423410322</v>
      </c>
      <c r="CH53" s="68">
        <f t="shared" si="123"/>
        <v>34.503308638572868</v>
      </c>
      <c r="CI53" s="68">
        <f t="shared" si="124"/>
        <v>20.629884404469646</v>
      </c>
      <c r="CK53" t="str">
        <f t="shared" si="139"/>
        <v>33 Protective service occupations</v>
      </c>
      <c r="CL53" s="17">
        <f t="shared" si="125"/>
        <v>0.43461106617437839</v>
      </c>
      <c r="CM53" s="17">
        <f t="shared" si="125"/>
        <v>0.40600990051135433</v>
      </c>
      <c r="CN53" s="17">
        <f t="shared" si="125"/>
        <v>0.4431202871389443</v>
      </c>
      <c r="CO53" s="17">
        <f t="shared" si="125"/>
        <v>0.4469118736604959</v>
      </c>
      <c r="CP53" s="17">
        <f t="shared" si="125"/>
        <v>0.5229612714434736</v>
      </c>
      <c r="CR53" s="67">
        <f t="shared" si="126"/>
        <v>-28.105788783519635</v>
      </c>
      <c r="CS53" s="68">
        <f t="shared" si="127"/>
        <v>17.940624475890598</v>
      </c>
      <c r="CT53" s="68">
        <f t="shared" si="128"/>
        <v>-10.165164307629034</v>
      </c>
    </row>
    <row r="54" spans="1:98" x14ac:dyDescent="0.3">
      <c r="A54" t="str">
        <f t="shared" si="95"/>
        <v>34 Culture, media and sports occupations</v>
      </c>
      <c r="B54" s="17">
        <f t="shared" si="96"/>
        <v>1.493356174584126</v>
      </c>
      <c r="C54" s="17">
        <f t="shared" si="96"/>
        <v>1.601630800630087</v>
      </c>
      <c r="D54" s="17">
        <f t="shared" si="96"/>
        <v>1.6455384882789161</v>
      </c>
      <c r="E54" s="17">
        <f t="shared" si="96"/>
        <v>1.552508965495162</v>
      </c>
      <c r="F54" s="17">
        <f t="shared" si="96"/>
        <v>1.5630849179433408</v>
      </c>
      <c r="H54" s="67">
        <f t="shared" si="129"/>
        <v>69.804680908744601</v>
      </c>
      <c r="I54" s="68">
        <f t="shared" si="130"/>
        <v>72.191737384639524</v>
      </c>
      <c r="J54" s="68">
        <f t="shared" si="131"/>
        <v>141.99641829338412</v>
      </c>
      <c r="L54" t="str">
        <f t="shared" si="132"/>
        <v>34 Culture, media and sports occupations</v>
      </c>
      <c r="M54" s="17">
        <f t="shared" si="97"/>
        <v>3.9845768088429545</v>
      </c>
      <c r="N54" s="17">
        <f t="shared" si="97"/>
        <v>3.6269383807554165</v>
      </c>
      <c r="O54" s="17">
        <f t="shared" si="97"/>
        <v>4.0822327934823921</v>
      </c>
      <c r="P54" s="17">
        <f t="shared" si="97"/>
        <v>3.9344067620842131</v>
      </c>
      <c r="Q54" s="17">
        <f t="shared" si="97"/>
        <v>3.9648958833452603</v>
      </c>
      <c r="S54" s="67">
        <f t="shared" si="98"/>
        <v>75.132023083650907</v>
      </c>
      <c r="T54" s="68">
        <f t="shared" si="99"/>
        <v>69.859765395143924</v>
      </c>
      <c r="U54" s="68">
        <f t="shared" si="100"/>
        <v>144.99178847879483</v>
      </c>
      <c r="W54" t="str">
        <f t="shared" si="133"/>
        <v>34 Culture, media and sports occupations</v>
      </c>
      <c r="X54" s="17">
        <f t="shared" si="101"/>
        <v>4.4237607016831086</v>
      </c>
      <c r="Y54" s="17">
        <f t="shared" si="101"/>
        <v>3.9504389260970143</v>
      </c>
      <c r="Z54" s="17">
        <f t="shared" si="101"/>
        <v>4.1067849878123797</v>
      </c>
      <c r="AA54" s="17">
        <f t="shared" si="101"/>
        <v>3.7505015086574929</v>
      </c>
      <c r="AB54" s="17">
        <f t="shared" si="101"/>
        <v>3.4635142231552285</v>
      </c>
      <c r="AD54" s="67">
        <f t="shared" si="102"/>
        <v>0.27836175956177367</v>
      </c>
      <c r="AE54" s="68">
        <f t="shared" si="103"/>
        <v>47.843890008019599</v>
      </c>
      <c r="AF54" s="68">
        <f t="shared" si="104"/>
        <v>48.122251767581368</v>
      </c>
      <c r="AH54" t="str">
        <f t="shared" si="134"/>
        <v>34 Culture, media and sports occupations</v>
      </c>
      <c r="AI54" s="17">
        <f t="shared" si="105"/>
        <v>1.9529013976980565</v>
      </c>
      <c r="AJ54" s="17">
        <f t="shared" si="105"/>
        <v>1.9652338186686202</v>
      </c>
      <c r="AK54" s="17">
        <f t="shared" si="105"/>
        <v>2.1947652915867386</v>
      </c>
      <c r="AL54" s="17">
        <f t="shared" si="105"/>
        <v>2.1467092430404353</v>
      </c>
      <c r="AM54" s="17">
        <f t="shared" si="105"/>
        <v>2.3548582611620112</v>
      </c>
      <c r="AO54" s="67">
        <f t="shared" si="106"/>
        <v>17.54053361406061</v>
      </c>
      <c r="AP54" s="68">
        <f t="shared" si="107"/>
        <v>50.755317304533563</v>
      </c>
      <c r="AQ54" s="68">
        <f t="shared" si="108"/>
        <v>68.295850918594169</v>
      </c>
      <c r="AS54" t="str">
        <f t="shared" si="135"/>
        <v>34 Culture, media and sports occupations</v>
      </c>
      <c r="AT54" s="17">
        <f t="shared" si="109"/>
        <v>2.5495347371712214</v>
      </c>
      <c r="AU54" s="17">
        <f t="shared" si="109"/>
        <v>2.2074761587316605</v>
      </c>
      <c r="AV54" s="17">
        <f t="shared" si="109"/>
        <v>2.2505452157443817</v>
      </c>
      <c r="AW54" s="17">
        <f t="shared" si="109"/>
        <v>1.9258488712182873</v>
      </c>
      <c r="AX54" s="17">
        <f t="shared" si="109"/>
        <v>1.6505957586884599</v>
      </c>
      <c r="AZ54" s="67">
        <f t="shared" si="110"/>
        <v>-13.420452043991499</v>
      </c>
      <c r="BA54" s="68">
        <f t="shared" si="111"/>
        <v>41.749412878145613</v>
      </c>
      <c r="BB54" s="68">
        <f t="shared" si="112"/>
        <v>28.328960834154117</v>
      </c>
      <c r="BD54" t="str">
        <f t="shared" si="136"/>
        <v>34 Culture, media and sports occupations</v>
      </c>
      <c r="BE54" s="17">
        <f t="shared" si="113"/>
        <v>1.5942755929741599</v>
      </c>
      <c r="BF54" s="17">
        <f t="shared" si="113"/>
        <v>1.4370080869609669</v>
      </c>
      <c r="BG54" s="17">
        <f t="shared" si="113"/>
        <v>1.520214506911951</v>
      </c>
      <c r="BH54" s="17">
        <f t="shared" si="113"/>
        <v>1.3203647846600566</v>
      </c>
      <c r="BI54" s="17">
        <f t="shared" si="113"/>
        <v>1.2696704140185473</v>
      </c>
      <c r="BK54" s="67">
        <f t="shared" si="114"/>
        <v>-16.794149274501546</v>
      </c>
      <c r="BL54" s="68">
        <f t="shared" si="115"/>
        <v>32.426117069486907</v>
      </c>
      <c r="BM54" s="68">
        <f t="shared" si="116"/>
        <v>15.631967794985362</v>
      </c>
      <c r="BO54" t="str">
        <f t="shared" si="137"/>
        <v>34 Culture, media and sports occupations</v>
      </c>
      <c r="BP54" s="17">
        <f t="shared" si="117"/>
        <v>0.88066028393274121</v>
      </c>
      <c r="BQ54" s="17">
        <f t="shared" si="117"/>
        <v>0.75467625826101703</v>
      </c>
      <c r="BR54" s="17">
        <f t="shared" si="117"/>
        <v>0.76064991121726</v>
      </c>
      <c r="BS54" s="17">
        <f t="shared" si="117"/>
        <v>0.59443427517459091</v>
      </c>
      <c r="BT54" s="17">
        <f t="shared" si="117"/>
        <v>0.42190260533165452</v>
      </c>
      <c r="BV54" s="67">
        <f t="shared" si="118"/>
        <v>-55.539596315565809</v>
      </c>
      <c r="BW54" s="68">
        <f t="shared" si="119"/>
        <v>24.299107959889994</v>
      </c>
      <c r="BX54" s="68">
        <f t="shared" si="120"/>
        <v>-31.240488355675804</v>
      </c>
      <c r="BZ54" t="str">
        <f t="shared" si="138"/>
        <v>34 Culture, media and sports occupations</v>
      </c>
      <c r="CA54" s="17">
        <f t="shared" si="121"/>
        <v>1.0460992408964613</v>
      </c>
      <c r="CB54" s="17">
        <f t="shared" si="121"/>
        <v>0.9992390648194448</v>
      </c>
      <c r="CC54" s="17">
        <f t="shared" si="121"/>
        <v>1.0441110050269118</v>
      </c>
      <c r="CD54" s="17">
        <f t="shared" si="121"/>
        <v>0.94088806914760337</v>
      </c>
      <c r="CE54" s="17">
        <f t="shared" si="121"/>
        <v>0.9218679375897576</v>
      </c>
      <c r="CG54" s="67">
        <f t="shared" si="122"/>
        <v>-47.289421470786088</v>
      </c>
      <c r="CH54" s="68">
        <f t="shared" si="123"/>
        <v>25.466677430064738</v>
      </c>
      <c r="CI54" s="68">
        <f t="shared" si="124"/>
        <v>-21.822744040721346</v>
      </c>
      <c r="CK54" t="str">
        <f t="shared" si="139"/>
        <v>34 Culture, media and sports occupations</v>
      </c>
      <c r="CL54" s="17">
        <f t="shared" si="125"/>
        <v>0.83500854959666637</v>
      </c>
      <c r="CM54" s="17">
        <f t="shared" si="125"/>
        <v>1.0306521795271291</v>
      </c>
      <c r="CN54" s="17">
        <f t="shared" si="125"/>
        <v>1.0809006551513429</v>
      </c>
      <c r="CO54" s="17">
        <f t="shared" si="125"/>
        <v>1.227280319834432</v>
      </c>
      <c r="CP54" s="17">
        <f t="shared" si="125"/>
        <v>1.5721880111741522</v>
      </c>
      <c r="CR54" s="67">
        <f t="shared" si="126"/>
        <v>-11.39367402325666</v>
      </c>
      <c r="CS54" s="68">
        <f t="shared" si="127"/>
        <v>30.126925564048669</v>
      </c>
      <c r="CT54" s="68">
        <f t="shared" si="128"/>
        <v>18.733251540792008</v>
      </c>
    </row>
    <row r="55" spans="1:98" x14ac:dyDescent="0.3">
      <c r="A55" t="str">
        <f t="shared" si="95"/>
        <v>35 Business and public service associate professionals</v>
      </c>
      <c r="B55" s="17">
        <f t="shared" ref="B55:F64" si="140">B18/B$35*100</f>
        <v>5.7147235040366819</v>
      </c>
      <c r="C55" s="17">
        <f t="shared" si="140"/>
        <v>5.7779512326865436</v>
      </c>
      <c r="D55" s="17">
        <f t="shared" si="140"/>
        <v>5.8738766485309419</v>
      </c>
      <c r="E55" s="17">
        <f t="shared" si="140"/>
        <v>5.9499274592030584</v>
      </c>
      <c r="F55" s="17">
        <f t="shared" si="140"/>
        <v>6.4527189931588191</v>
      </c>
      <c r="H55" s="67">
        <f t="shared" si="129"/>
        <v>96.378103047687759</v>
      </c>
      <c r="I55" s="68">
        <f t="shared" si="130"/>
        <v>70.813191725749036</v>
      </c>
      <c r="J55" s="68">
        <f t="shared" si="131"/>
        <v>167.19129477343682</v>
      </c>
      <c r="L55" t="str">
        <f t="shared" si="132"/>
        <v>35 Business and public service associate professionals</v>
      </c>
      <c r="M55" s="17">
        <f t="shared" ref="M55:Q64" si="141">M18/M$35*100</f>
        <v>8.5993256925491401</v>
      </c>
      <c r="N55" s="17">
        <f t="shared" si="141"/>
        <v>8.5698036007879921</v>
      </c>
      <c r="O55" s="17">
        <f t="shared" si="141"/>
        <v>8.5502475349447824</v>
      </c>
      <c r="P55" s="17">
        <f t="shared" si="141"/>
        <v>8.2435527465152099</v>
      </c>
      <c r="Q55" s="17">
        <f t="shared" si="141"/>
        <v>8.1424660873568477</v>
      </c>
      <c r="S55" s="67">
        <f t="shared" si="98"/>
        <v>71.715229557366257</v>
      </c>
      <c r="T55" s="68">
        <f t="shared" si="99"/>
        <v>67.19677698264482</v>
      </c>
      <c r="U55" s="68">
        <f t="shared" si="100"/>
        <v>138.91200654001108</v>
      </c>
      <c r="W55" t="str">
        <f t="shared" si="133"/>
        <v>35 Business and public service associate professionals</v>
      </c>
      <c r="X55" s="17">
        <f t="shared" ref="X55:AB64" si="142">X18/X$35*100</f>
        <v>9.0840820042436015</v>
      </c>
      <c r="Y55" s="17">
        <f t="shared" si="142"/>
        <v>8.8405268026725619</v>
      </c>
      <c r="Z55" s="17">
        <f t="shared" si="142"/>
        <v>8.7317285891034597</v>
      </c>
      <c r="AA55" s="17">
        <f t="shared" si="142"/>
        <v>7.9094761432059579</v>
      </c>
      <c r="AB55" s="17">
        <f t="shared" si="142"/>
        <v>7.1588380162942169</v>
      </c>
      <c r="AD55" s="67">
        <f t="shared" si="102"/>
        <v>-2.5157334633519834</v>
      </c>
      <c r="AE55" s="68">
        <f t="shared" si="103"/>
        <v>49.421900811712952</v>
      </c>
      <c r="AF55" s="68">
        <f t="shared" si="104"/>
        <v>46.906167348360974</v>
      </c>
      <c r="AH55" t="str">
        <f t="shared" si="134"/>
        <v>35 Business and public service associate professionals</v>
      </c>
      <c r="AI55" s="17">
        <f t="shared" ref="AI55:AM64" si="143">AI18/AI$35*100</f>
        <v>7.8303521507462355</v>
      </c>
      <c r="AJ55" s="17">
        <f t="shared" si="143"/>
        <v>8.3044365213681957</v>
      </c>
      <c r="AK55" s="17">
        <f t="shared" si="143"/>
        <v>8.7725124890210182</v>
      </c>
      <c r="AL55" s="17">
        <f t="shared" si="143"/>
        <v>8.5258463141655927</v>
      </c>
      <c r="AM55" s="17">
        <f t="shared" si="143"/>
        <v>8.3532310555882603</v>
      </c>
      <c r="AO55" s="67">
        <f t="shared" si="106"/>
        <v>4.3137285046762885</v>
      </c>
      <c r="AP55" s="68">
        <f t="shared" si="107"/>
        <v>48.823289565028425</v>
      </c>
      <c r="AQ55" s="68">
        <f t="shared" si="108"/>
        <v>53.137018069704709</v>
      </c>
      <c r="AS55" t="str">
        <f t="shared" si="135"/>
        <v>35 Business and public service associate professionals</v>
      </c>
      <c r="AT55" s="17">
        <f t="shared" ref="AT55:AX64" si="144">AT18/AT$35*100</f>
        <v>7.6248098612207382</v>
      </c>
      <c r="AU55" s="17">
        <f t="shared" si="144"/>
        <v>7.4756323588200502</v>
      </c>
      <c r="AV55" s="17">
        <f t="shared" si="144"/>
        <v>7.6179292583935343</v>
      </c>
      <c r="AW55" s="17">
        <f t="shared" si="144"/>
        <v>6.949259616476346</v>
      </c>
      <c r="AX55" s="17">
        <f t="shared" si="144"/>
        <v>6.4684178702596862</v>
      </c>
      <c r="AZ55" s="67">
        <f t="shared" si="110"/>
        <v>0.23593937718595498</v>
      </c>
      <c r="BA55" s="68">
        <f t="shared" si="111"/>
        <v>46.743640089427323</v>
      </c>
      <c r="BB55" s="68">
        <f t="shared" si="112"/>
        <v>46.979579466613281</v>
      </c>
      <c r="BD55" t="str">
        <f t="shared" si="136"/>
        <v>35 Business and public service associate professionals</v>
      </c>
      <c r="BE55" s="17">
        <f t="shared" ref="BE55:BI64" si="145">BE18/BE$35*100</f>
        <v>5.600988005469409</v>
      </c>
      <c r="BF55" s="17">
        <f t="shared" si="145"/>
        <v>5.5761932117379933</v>
      </c>
      <c r="BG55" s="17">
        <f t="shared" si="145"/>
        <v>5.8762621631394119</v>
      </c>
      <c r="BH55" s="17">
        <f t="shared" si="145"/>
        <v>5.1955337573645703</v>
      </c>
      <c r="BI55" s="17">
        <f t="shared" si="145"/>
        <v>4.865907344215735</v>
      </c>
      <c r="BK55" s="67">
        <f t="shared" si="114"/>
        <v>-17.504471353180882</v>
      </c>
      <c r="BL55" s="68">
        <f t="shared" si="115"/>
        <v>36.645002067084775</v>
      </c>
      <c r="BM55" s="68">
        <f t="shared" si="116"/>
        <v>19.140530713903896</v>
      </c>
      <c r="BO55" t="str">
        <f t="shared" si="137"/>
        <v>35 Business and public service associate professionals</v>
      </c>
      <c r="BP55" s="17">
        <f t="shared" ref="BP55:BT64" si="146">BP18/BP$35*100</f>
        <v>4.6434181701737094</v>
      </c>
      <c r="BQ55" s="17">
        <f t="shared" si="146"/>
        <v>4.6782154735931538</v>
      </c>
      <c r="BR55" s="17">
        <f t="shared" si="146"/>
        <v>4.9312129306687744</v>
      </c>
      <c r="BS55" s="17">
        <f t="shared" si="146"/>
        <v>4.323711161358931</v>
      </c>
      <c r="BT55" s="17">
        <f t="shared" si="146"/>
        <v>4.0352604357676771</v>
      </c>
      <c r="BV55" s="67">
        <f t="shared" si="118"/>
        <v>-34.406043608756356</v>
      </c>
      <c r="BW55" s="68">
        <f t="shared" si="119"/>
        <v>31.029172112730603</v>
      </c>
      <c r="BX55" s="68">
        <f t="shared" si="120"/>
        <v>-3.3768714960257524</v>
      </c>
      <c r="BZ55" t="str">
        <f t="shared" si="138"/>
        <v>35 Business and public service associate professionals</v>
      </c>
      <c r="CA55" s="17">
        <f t="shared" ref="CA55:CE64" si="147">CA18/CA$35*100</f>
        <v>4.2521807403137357</v>
      </c>
      <c r="CB55" s="17">
        <f t="shared" si="147"/>
        <v>4.3845594184626568</v>
      </c>
      <c r="CC55" s="17">
        <f t="shared" si="147"/>
        <v>4.6294907615768119</v>
      </c>
      <c r="CD55" s="17">
        <f t="shared" si="147"/>
        <v>4.1638632303142549</v>
      </c>
      <c r="CE55" s="17">
        <f t="shared" si="147"/>
        <v>3.8747013905547059</v>
      </c>
      <c r="CG55" s="67">
        <f t="shared" si="122"/>
        <v>-50.033289116901649</v>
      </c>
      <c r="CH55" s="68">
        <f t="shared" si="123"/>
        <v>25.027296035543113</v>
      </c>
      <c r="CI55" s="68">
        <f t="shared" si="124"/>
        <v>-25.005993081358529</v>
      </c>
      <c r="CK55" t="str">
        <f t="shared" si="139"/>
        <v>35 Business and public service associate professionals</v>
      </c>
      <c r="CL55" s="17">
        <f t="shared" ref="CL55:CP64" si="148">CL18/CL$35*100</f>
        <v>2.3867000181615174</v>
      </c>
      <c r="CM55" s="17">
        <f t="shared" si="148"/>
        <v>2.7699631002441421</v>
      </c>
      <c r="CN55" s="17">
        <f t="shared" si="148"/>
        <v>3.0083744653503102</v>
      </c>
      <c r="CO55" s="17">
        <f t="shared" si="148"/>
        <v>3.105212363098441</v>
      </c>
      <c r="CP55" s="17">
        <f t="shared" si="148"/>
        <v>4.5409606416953112</v>
      </c>
      <c r="CR55" s="67">
        <f t="shared" si="126"/>
        <v>-8.0478532530027866</v>
      </c>
      <c r="CS55" s="68">
        <f t="shared" si="127"/>
        <v>28.547396961331085</v>
      </c>
      <c r="CT55" s="68">
        <f t="shared" si="128"/>
        <v>20.499543708328297</v>
      </c>
    </row>
    <row r="56" spans="1:98" x14ac:dyDescent="0.3">
      <c r="A56" t="str">
        <f t="shared" si="95"/>
        <v>41 Administrative occupations</v>
      </c>
      <c r="B56" s="17">
        <f t="shared" si="140"/>
        <v>3.179492381303723</v>
      </c>
      <c r="C56" s="17">
        <f t="shared" si="140"/>
        <v>3.0228170478445695</v>
      </c>
      <c r="D56" s="17">
        <f t="shared" si="140"/>
        <v>3.1564947815805913</v>
      </c>
      <c r="E56" s="17">
        <f t="shared" si="140"/>
        <v>3.1806710955313338</v>
      </c>
      <c r="F56" s="17">
        <f t="shared" si="140"/>
        <v>3.5385289535527407</v>
      </c>
      <c r="H56" s="67">
        <f t="shared" si="129"/>
        <v>100.39773467219084</v>
      </c>
      <c r="I56" s="68">
        <f t="shared" si="130"/>
        <v>78.78800275733218</v>
      </c>
      <c r="J56" s="68">
        <f t="shared" si="131"/>
        <v>179.18573742952302</v>
      </c>
      <c r="L56" t="str">
        <f t="shared" si="132"/>
        <v>41 Administrative occupations</v>
      </c>
      <c r="M56" s="17">
        <f t="shared" si="141"/>
        <v>5.1138789330355152</v>
      </c>
      <c r="N56" s="17">
        <f t="shared" si="141"/>
        <v>4.8833793248089927</v>
      </c>
      <c r="O56" s="17">
        <f t="shared" si="141"/>
        <v>5.0292634518288724</v>
      </c>
      <c r="P56" s="17">
        <f t="shared" si="141"/>
        <v>4.9369924481312006</v>
      </c>
      <c r="Q56" s="17">
        <f t="shared" si="141"/>
        <v>5.084599071462419</v>
      </c>
      <c r="S56" s="67">
        <f t="shared" si="98"/>
        <v>82.298826057926021</v>
      </c>
      <c r="T56" s="68">
        <f t="shared" si="99"/>
        <v>76.272390899459154</v>
      </c>
      <c r="U56" s="68">
        <f t="shared" si="100"/>
        <v>158.57121695738516</v>
      </c>
      <c r="W56" t="str">
        <f t="shared" si="133"/>
        <v>41 Administrative occupations</v>
      </c>
      <c r="X56" s="17">
        <f t="shared" si="142"/>
        <v>8.5081520911900057</v>
      </c>
      <c r="Y56" s="17">
        <f t="shared" si="142"/>
        <v>8.0543098874816899</v>
      </c>
      <c r="Z56" s="17">
        <f t="shared" si="142"/>
        <v>8.436291699643208</v>
      </c>
      <c r="AA56" s="17">
        <f t="shared" si="142"/>
        <v>8.1999733806707393</v>
      </c>
      <c r="AB56" s="17">
        <f t="shared" si="142"/>
        <v>8.2858338494459236</v>
      </c>
      <c r="AD56" s="67">
        <f t="shared" si="102"/>
        <v>16.782254002990111</v>
      </c>
      <c r="AE56" s="68">
        <f t="shared" si="103"/>
        <v>60.12151922069777</v>
      </c>
      <c r="AF56" s="68">
        <f t="shared" si="104"/>
        <v>76.903773223687878</v>
      </c>
      <c r="AH56" t="str">
        <f t="shared" si="134"/>
        <v>41 Administrative occupations</v>
      </c>
      <c r="AI56" s="17">
        <f t="shared" si="143"/>
        <v>10.187985784460029</v>
      </c>
      <c r="AJ56" s="17">
        <f t="shared" si="143"/>
        <v>10.636474888922908</v>
      </c>
      <c r="AK56" s="17">
        <f t="shared" si="143"/>
        <v>11.224744052961144</v>
      </c>
      <c r="AL56" s="17">
        <f t="shared" si="143"/>
        <v>11.308074180689326</v>
      </c>
      <c r="AM56" s="17">
        <f t="shared" si="143"/>
        <v>11.453704553596658</v>
      </c>
      <c r="AO56" s="67">
        <f t="shared" si="106"/>
        <v>11.784219510556621</v>
      </c>
      <c r="AP56" s="68">
        <f t="shared" si="107"/>
        <v>61.611562107012439</v>
      </c>
      <c r="AQ56" s="68">
        <f t="shared" si="108"/>
        <v>73.395781617569071</v>
      </c>
      <c r="AS56" t="str">
        <f t="shared" si="135"/>
        <v>41 Administrative occupations</v>
      </c>
      <c r="AT56" s="17">
        <f t="shared" si="144"/>
        <v>10.521818128625709</v>
      </c>
      <c r="AU56" s="17">
        <f t="shared" si="144"/>
        <v>10.119440214875251</v>
      </c>
      <c r="AV56" s="17">
        <f t="shared" si="144"/>
        <v>10.59725999465687</v>
      </c>
      <c r="AW56" s="17">
        <f t="shared" si="144"/>
        <v>9.9565993294286468</v>
      </c>
      <c r="AX56" s="17">
        <f t="shared" si="144"/>
        <v>9.7863117591841586</v>
      </c>
      <c r="AZ56" s="67">
        <f t="shared" si="110"/>
        <v>9.0153840823890459</v>
      </c>
      <c r="BA56" s="68">
        <f t="shared" si="111"/>
        <v>56.611355509735425</v>
      </c>
      <c r="BB56" s="68">
        <f t="shared" si="112"/>
        <v>65.626739592124466</v>
      </c>
      <c r="BD56" t="str">
        <f t="shared" si="136"/>
        <v>41 Administrative occupations</v>
      </c>
      <c r="BE56" s="17">
        <f t="shared" si="145"/>
        <v>9.2391880652317653</v>
      </c>
      <c r="BF56" s="17">
        <f t="shared" si="145"/>
        <v>8.7351807963898214</v>
      </c>
      <c r="BG56" s="17">
        <f t="shared" si="145"/>
        <v>9.2668418768998624</v>
      </c>
      <c r="BH56" s="17">
        <f t="shared" si="145"/>
        <v>8.167609742557099</v>
      </c>
      <c r="BI56" s="17">
        <f t="shared" si="145"/>
        <v>6.8496493404706644</v>
      </c>
      <c r="BK56" s="67">
        <f t="shared" si="114"/>
        <v>-26.36160325989988</v>
      </c>
      <c r="BL56" s="68">
        <f t="shared" si="115"/>
        <v>39.466514303942567</v>
      </c>
      <c r="BM56" s="68">
        <f t="shared" si="116"/>
        <v>13.104911044042689</v>
      </c>
      <c r="BO56" t="str">
        <f t="shared" si="137"/>
        <v>41 Administrative occupations</v>
      </c>
      <c r="BP56" s="17">
        <f t="shared" si="146"/>
        <v>10.688380751107234</v>
      </c>
      <c r="BQ56" s="17">
        <f t="shared" si="146"/>
        <v>9.9438956337638462</v>
      </c>
      <c r="BR56" s="17">
        <f t="shared" si="146"/>
        <v>10.644714036552573</v>
      </c>
      <c r="BS56" s="17">
        <f t="shared" si="146"/>
        <v>9.1636098356475681</v>
      </c>
      <c r="BT56" s="17">
        <f t="shared" si="146"/>
        <v>7.3693326450626246</v>
      </c>
      <c r="BV56" s="67">
        <f t="shared" si="118"/>
        <v>-44.506748119477443</v>
      </c>
      <c r="BW56" s="68">
        <f t="shared" si="119"/>
        <v>32.210744254918993</v>
      </c>
      <c r="BX56" s="68">
        <f t="shared" si="120"/>
        <v>-12.296003864558452</v>
      </c>
      <c r="BZ56" t="str">
        <f t="shared" si="138"/>
        <v>41 Administrative occupations</v>
      </c>
      <c r="CA56" s="17">
        <f t="shared" si="147"/>
        <v>8.6304138691397743</v>
      </c>
      <c r="CB56" s="17">
        <f t="shared" si="147"/>
        <v>7.758000556280864</v>
      </c>
      <c r="CC56" s="17">
        <f t="shared" si="147"/>
        <v>8.0387015091630634</v>
      </c>
      <c r="CD56" s="17">
        <f t="shared" si="147"/>
        <v>5.998858006387179</v>
      </c>
      <c r="CE56" s="17">
        <f t="shared" si="147"/>
        <v>3.3527508752926787</v>
      </c>
      <c r="CG56" s="67">
        <f t="shared" si="122"/>
        <v>-75.100471271208008</v>
      </c>
      <c r="CH56" s="68">
        <f t="shared" si="123"/>
        <v>20.084584173148126</v>
      </c>
      <c r="CI56" s="68">
        <f t="shared" si="124"/>
        <v>-55.015887098059892</v>
      </c>
      <c r="CK56" t="str">
        <f t="shared" si="139"/>
        <v>41 Administrative occupations</v>
      </c>
      <c r="CL56" s="17">
        <f t="shared" si="148"/>
        <v>5.5958351465492999</v>
      </c>
      <c r="CM56" s="17">
        <f t="shared" si="148"/>
        <v>5.470418153297814</v>
      </c>
      <c r="CN56" s="17">
        <f t="shared" si="148"/>
        <v>6.129117041332079</v>
      </c>
      <c r="CO56" s="17">
        <f t="shared" si="148"/>
        <v>5.7643749020630954</v>
      </c>
      <c r="CP56" s="17">
        <f t="shared" si="148"/>
        <v>6.1433795033998679</v>
      </c>
      <c r="CR56" s="67">
        <f t="shared" si="126"/>
        <v>-38.940188578643308</v>
      </c>
      <c r="CS56" s="68">
        <f t="shared" si="127"/>
        <v>23.097191368199073</v>
      </c>
      <c r="CT56" s="68">
        <f t="shared" si="128"/>
        <v>-15.842997210444237</v>
      </c>
    </row>
    <row r="57" spans="1:98" x14ac:dyDescent="0.3">
      <c r="A57" t="str">
        <f t="shared" si="95"/>
        <v>42 Secretarial and related occupations</v>
      </c>
      <c r="B57" s="17">
        <f t="shared" si="140"/>
        <v>0.29402611950466895</v>
      </c>
      <c r="C57" s="17">
        <f t="shared" si="140"/>
        <v>0.29835162701440637</v>
      </c>
      <c r="D57" s="17">
        <f t="shared" si="140"/>
        <v>0.28694962800256324</v>
      </c>
      <c r="E57" s="17">
        <f t="shared" si="140"/>
        <v>0.37736181430485405</v>
      </c>
      <c r="F57" s="17">
        <f t="shared" si="140"/>
        <v>0.5290156413002447</v>
      </c>
      <c r="H57" s="67">
        <f t="shared" si="129"/>
        <v>229.56264283563058</v>
      </c>
      <c r="I57" s="68">
        <f t="shared" si="130"/>
        <v>138.41202231329211</v>
      </c>
      <c r="J57" s="68">
        <f t="shared" si="131"/>
        <v>367.97466514892267</v>
      </c>
      <c r="L57" t="str">
        <f t="shared" si="132"/>
        <v>42 Secretarial and related occupations</v>
      </c>
      <c r="M57" s="17">
        <f t="shared" si="141"/>
        <v>0.90773124784743819</v>
      </c>
      <c r="N57" s="17">
        <f t="shared" si="141"/>
        <v>0.8171186340940042</v>
      </c>
      <c r="O57" s="17">
        <f t="shared" si="141"/>
        <v>0.81209416143994473</v>
      </c>
      <c r="P57" s="17">
        <f t="shared" si="141"/>
        <v>1.027729302064631</v>
      </c>
      <c r="Q57" s="17">
        <f t="shared" si="141"/>
        <v>0.98203685436011079</v>
      </c>
      <c r="S57" s="67">
        <f t="shared" si="98"/>
        <v>118.0484193156057</v>
      </c>
      <c r="T57" s="68">
        <f t="shared" si="99"/>
        <v>101.19626028076834</v>
      </c>
      <c r="U57" s="68">
        <f t="shared" si="100"/>
        <v>219.24467959637406</v>
      </c>
      <c r="W57" t="str">
        <f t="shared" si="133"/>
        <v>42 Secretarial and related occupations</v>
      </c>
      <c r="X57" s="17">
        <f t="shared" si="142"/>
        <v>1.5775736235600011</v>
      </c>
      <c r="Y57" s="17">
        <f t="shared" si="142"/>
        <v>1.4482936554470314</v>
      </c>
      <c r="Z57" s="17">
        <f t="shared" si="142"/>
        <v>1.4517615587421719</v>
      </c>
      <c r="AA57" s="17">
        <f t="shared" si="142"/>
        <v>1.9522866788004734</v>
      </c>
      <c r="AB57" s="17">
        <f t="shared" si="142"/>
        <v>2.4173126374403435</v>
      </c>
      <c r="AD57" s="67">
        <f t="shared" si="102"/>
        <v>97.983843322598645</v>
      </c>
      <c r="AE57" s="68">
        <f t="shared" si="103"/>
        <v>96.804890562193322</v>
      </c>
      <c r="AF57" s="68">
        <f t="shared" si="104"/>
        <v>194.78873388479195</v>
      </c>
      <c r="AH57" t="str">
        <f t="shared" si="134"/>
        <v>42 Secretarial and related occupations</v>
      </c>
      <c r="AI57" s="17">
        <f t="shared" si="143"/>
        <v>2.502236274716398</v>
      </c>
      <c r="AJ57" s="17">
        <f t="shared" si="143"/>
        <v>2.4638598705663517</v>
      </c>
      <c r="AK57" s="17">
        <f t="shared" si="143"/>
        <v>2.5794743965696902</v>
      </c>
      <c r="AL57" s="17">
        <f t="shared" si="143"/>
        <v>3.3894591797490201</v>
      </c>
      <c r="AM57" s="17">
        <f t="shared" si="143"/>
        <v>3.44866727551014</v>
      </c>
      <c r="AO57" s="67">
        <f t="shared" si="106"/>
        <v>46.464051690932131</v>
      </c>
      <c r="AP57" s="68">
        <f t="shared" si="107"/>
        <v>80.761691882608559</v>
      </c>
      <c r="AQ57" s="68">
        <f t="shared" si="108"/>
        <v>127.22574357354068</v>
      </c>
      <c r="AS57" t="str">
        <f t="shared" si="135"/>
        <v>42 Secretarial and related occupations</v>
      </c>
      <c r="AT57" s="17">
        <f t="shared" si="144"/>
        <v>2.132302426403307</v>
      </c>
      <c r="AU57" s="17">
        <f t="shared" si="144"/>
        <v>1.8740633540819267</v>
      </c>
      <c r="AV57" s="17">
        <f t="shared" si="144"/>
        <v>1.926626836171214</v>
      </c>
      <c r="AW57" s="17">
        <f t="shared" si="144"/>
        <v>2.264595173905076</v>
      </c>
      <c r="AX57" s="17">
        <f t="shared" si="144"/>
        <v>2.0079555044211044</v>
      </c>
      <c r="AZ57" s="67">
        <f t="shared" si="110"/>
        <v>23.032206078822625</v>
      </c>
      <c r="BA57" s="68">
        <f t="shared" si="111"/>
        <v>68.807305097438302</v>
      </c>
      <c r="BB57" s="68">
        <f t="shared" si="112"/>
        <v>91.839511176260942</v>
      </c>
      <c r="BD57" t="str">
        <f t="shared" si="136"/>
        <v>42 Secretarial and related occupations</v>
      </c>
      <c r="BE57" s="17">
        <f t="shared" si="145"/>
        <v>2.1276164781780182</v>
      </c>
      <c r="BF57" s="17">
        <f t="shared" si="145"/>
        <v>1.8768904234823554</v>
      </c>
      <c r="BG57" s="17">
        <f t="shared" si="145"/>
        <v>1.8691885154637573</v>
      </c>
      <c r="BH57" s="17">
        <f t="shared" si="145"/>
        <v>2.0476967251527372</v>
      </c>
      <c r="BI57" s="17">
        <f t="shared" si="145"/>
        <v>0.80061963944599024</v>
      </c>
      <c r="BK57" s="67">
        <f t="shared" si="114"/>
        <v>-57.328208785627986</v>
      </c>
      <c r="BL57" s="68">
        <f t="shared" si="115"/>
        <v>41.486390177886143</v>
      </c>
      <c r="BM57" s="68">
        <f t="shared" si="116"/>
        <v>-15.841818607741837</v>
      </c>
      <c r="BO57" t="str">
        <f t="shared" si="137"/>
        <v>42 Secretarial and related occupations</v>
      </c>
      <c r="BP57" s="17">
        <f t="shared" si="146"/>
        <v>2.797292927980032</v>
      </c>
      <c r="BQ57" s="17">
        <f t="shared" si="146"/>
        <v>2.2891666508708894</v>
      </c>
      <c r="BR57" s="17">
        <f t="shared" si="146"/>
        <v>2.265249235460828</v>
      </c>
      <c r="BS57" s="17">
        <f t="shared" si="146"/>
        <v>1.9288688414576101</v>
      </c>
      <c r="BT57" s="17">
        <f t="shared" si="146"/>
        <v>0.60759785654251863</v>
      </c>
      <c r="BV57" s="67">
        <f t="shared" si="118"/>
        <v>-78.499614151024502</v>
      </c>
      <c r="BW57" s="68">
        <f t="shared" si="119"/>
        <v>28.289767744251659</v>
      </c>
      <c r="BX57" s="68">
        <f t="shared" si="120"/>
        <v>-50.20984640677284</v>
      </c>
      <c r="BZ57" t="str">
        <f t="shared" si="138"/>
        <v>42 Secretarial and related occupations</v>
      </c>
      <c r="CA57" s="17">
        <f t="shared" si="147"/>
        <v>3.5749695868029279</v>
      </c>
      <c r="CB57" s="17">
        <f t="shared" si="147"/>
        <v>3.2905215349945482</v>
      </c>
      <c r="CC57" s="17">
        <f t="shared" si="147"/>
        <v>3.2350184393399748</v>
      </c>
      <c r="CD57" s="17">
        <f t="shared" si="147"/>
        <v>2.0901209235188416</v>
      </c>
      <c r="CE57" s="17">
        <f t="shared" si="147"/>
        <v>0.69608248309119836</v>
      </c>
      <c r="CG57" s="67">
        <f t="shared" si="122"/>
        <v>-87.154243362986222</v>
      </c>
      <c r="CH57" s="68">
        <f t="shared" si="123"/>
        <v>19.651730838678493</v>
      </c>
      <c r="CI57" s="68">
        <f t="shared" si="124"/>
        <v>-67.502512524307718</v>
      </c>
      <c r="CK57" t="str">
        <f t="shared" si="139"/>
        <v>42 Secretarial and related occupations</v>
      </c>
      <c r="CL57" s="17">
        <f t="shared" si="148"/>
        <v>2.1903370257877945</v>
      </c>
      <c r="CM57" s="17">
        <f t="shared" si="148"/>
        <v>2.3818082058661898</v>
      </c>
      <c r="CN57" s="17">
        <f t="shared" si="148"/>
        <v>2.5838066376546136</v>
      </c>
      <c r="CO57" s="17">
        <f t="shared" si="148"/>
        <v>3.3050892103290868</v>
      </c>
      <c r="CP57" s="17">
        <f t="shared" si="148"/>
        <v>3.7293149055501837</v>
      </c>
      <c r="CR57" s="67">
        <f t="shared" si="126"/>
        <v>-12.074453494667955</v>
      </c>
      <c r="CS57" s="68">
        <f t="shared" si="127"/>
        <v>39.612678787672088</v>
      </c>
      <c r="CT57" s="68">
        <f t="shared" si="128"/>
        <v>27.538225293004139</v>
      </c>
    </row>
    <row r="58" spans="1:98" x14ac:dyDescent="0.3">
      <c r="A58" t="str">
        <f t="shared" si="95"/>
        <v>51 Skilled agricultural and related trades</v>
      </c>
      <c r="B58" s="17">
        <f t="shared" si="140"/>
        <v>0.16862484939380526</v>
      </c>
      <c r="C58" s="17">
        <f t="shared" si="140"/>
        <v>0.197218357962505</v>
      </c>
      <c r="D58" s="17">
        <f t="shared" si="140"/>
        <v>0.15359760752428531</v>
      </c>
      <c r="E58" s="17">
        <f t="shared" si="140"/>
        <v>0.15394907218400589</v>
      </c>
      <c r="F58" s="17">
        <f t="shared" si="140"/>
        <v>0.17085996946795853</v>
      </c>
      <c r="H58" s="67">
        <f t="shared" si="129"/>
        <v>98.852476208624637</v>
      </c>
      <c r="I58" s="68">
        <f t="shared" si="130"/>
        <v>104.58002939600752</v>
      </c>
      <c r="J58" s="68">
        <f t="shared" si="131"/>
        <v>203.43250560463218</v>
      </c>
      <c r="L58" t="str">
        <f t="shared" si="132"/>
        <v>51 Skilled agricultural and related trades</v>
      </c>
      <c r="M58" s="17">
        <f t="shared" si="141"/>
        <v>0.17284461222110697</v>
      </c>
      <c r="N58" s="17">
        <f t="shared" si="141"/>
        <v>0.15670122475601922</v>
      </c>
      <c r="O58" s="17">
        <f t="shared" si="141"/>
        <v>0.12654247250797532</v>
      </c>
      <c r="P58" s="17">
        <f t="shared" si="141"/>
        <v>0.12541259870994323</v>
      </c>
      <c r="Q58" s="17">
        <f t="shared" si="141"/>
        <v>0.13932191955942747</v>
      </c>
      <c r="S58" s="67">
        <f t="shared" si="98"/>
        <v>98.524759218944027</v>
      </c>
      <c r="T58" s="68">
        <f t="shared" si="99"/>
        <v>89.546775429149577</v>
      </c>
      <c r="U58" s="68">
        <f t="shared" si="100"/>
        <v>188.07153464809363</v>
      </c>
      <c r="W58" t="str">
        <f t="shared" si="133"/>
        <v>51 Skilled agricultural and related trades</v>
      </c>
      <c r="X58" s="17">
        <f t="shared" si="142"/>
        <v>0.64346915209048838</v>
      </c>
      <c r="Y58" s="17">
        <f t="shared" si="142"/>
        <v>0.61959563235087678</v>
      </c>
      <c r="Z58" s="17">
        <f t="shared" si="142"/>
        <v>0.63863425471960522</v>
      </c>
      <c r="AA58" s="17">
        <f t="shared" si="142"/>
        <v>0.6974503687491066</v>
      </c>
      <c r="AB58" s="17">
        <f t="shared" si="142"/>
        <v>0.8720299551438313</v>
      </c>
      <c r="AD58" s="67">
        <f t="shared" si="102"/>
        <v>62.357148468045509</v>
      </c>
      <c r="AE58" s="68">
        <f t="shared" si="103"/>
        <v>89.12195192282357</v>
      </c>
      <c r="AF58" s="68">
        <f t="shared" si="104"/>
        <v>151.47910039086909</v>
      </c>
      <c r="AH58" t="str">
        <f t="shared" si="134"/>
        <v>51 Skilled agricultural and related trades</v>
      </c>
      <c r="AI58" s="17">
        <f t="shared" si="143"/>
        <v>1.0265890348231406</v>
      </c>
      <c r="AJ58" s="17">
        <f t="shared" si="143"/>
        <v>1.1588216943913845</v>
      </c>
      <c r="AK58" s="17">
        <f t="shared" si="143"/>
        <v>1.0219477873856442</v>
      </c>
      <c r="AL58" s="17">
        <f t="shared" si="143"/>
        <v>1.2023703255979274</v>
      </c>
      <c r="AM58" s="17">
        <f t="shared" si="143"/>
        <v>1.4551234120965877</v>
      </c>
      <c r="AO58" s="67">
        <f t="shared" si="106"/>
        <v>55.984731644045368</v>
      </c>
      <c r="AP58" s="68">
        <f t="shared" si="107"/>
        <v>93.841151652876292</v>
      </c>
      <c r="AQ58" s="68">
        <f t="shared" si="108"/>
        <v>149.82588329692166</v>
      </c>
      <c r="AS58" t="str">
        <f t="shared" si="135"/>
        <v>51 Skilled agricultural and related trades</v>
      </c>
      <c r="AT58" s="17">
        <f t="shared" si="144"/>
        <v>1.5851906241020084</v>
      </c>
      <c r="AU58" s="17">
        <f t="shared" si="144"/>
        <v>1.6114135918837633</v>
      </c>
      <c r="AV58" s="17">
        <f t="shared" si="144"/>
        <v>1.4480519771307119</v>
      </c>
      <c r="AW58" s="17">
        <f t="shared" si="144"/>
        <v>1.5561441695945615</v>
      </c>
      <c r="AX58" s="17">
        <f t="shared" si="144"/>
        <v>1.8801008040637608</v>
      </c>
      <c r="AZ58" s="67">
        <f t="shared" si="110"/>
        <v>53.270761859625452</v>
      </c>
      <c r="BA58" s="68">
        <f t="shared" si="111"/>
        <v>81.402477446470286</v>
      </c>
      <c r="BB58" s="68">
        <f t="shared" si="112"/>
        <v>134.67323930609572</v>
      </c>
      <c r="BD58" t="str">
        <f t="shared" si="136"/>
        <v>51 Skilled agricultural and related trades</v>
      </c>
      <c r="BE58" s="17">
        <f t="shared" si="145"/>
        <v>0.8183768278298198</v>
      </c>
      <c r="BF58" s="17">
        <f t="shared" si="145"/>
        <v>0.78718640157480335</v>
      </c>
      <c r="BG58" s="17">
        <f t="shared" si="145"/>
        <v>0.68934599237191341</v>
      </c>
      <c r="BH58" s="17">
        <f t="shared" si="145"/>
        <v>0.66426390671701374</v>
      </c>
      <c r="BI58" s="17">
        <f t="shared" si="145"/>
        <v>0.69027381729467119</v>
      </c>
      <c r="BK58" s="67">
        <f t="shared" si="114"/>
        <v>-0.24104673957120359</v>
      </c>
      <c r="BL58" s="68">
        <f t="shared" si="115"/>
        <v>50.617243897577616</v>
      </c>
      <c r="BM58" s="68">
        <f t="shared" si="116"/>
        <v>50.376197158006406</v>
      </c>
      <c r="BO58" t="str">
        <f t="shared" si="137"/>
        <v>51 Skilled agricultural and related trades</v>
      </c>
      <c r="BP58" s="17">
        <f t="shared" si="146"/>
        <v>1.2652106163939654</v>
      </c>
      <c r="BQ58" s="17">
        <f t="shared" si="146"/>
        <v>1.2709956737830861</v>
      </c>
      <c r="BR58" s="17">
        <f t="shared" si="146"/>
        <v>1.1571151051402395</v>
      </c>
      <c r="BS58" s="17">
        <f t="shared" si="146"/>
        <v>1.172491067076415</v>
      </c>
      <c r="BT58" s="17">
        <f t="shared" si="146"/>
        <v>1.3748439503431737</v>
      </c>
      <c r="BV58" s="67">
        <f t="shared" si="118"/>
        <v>-4.759238902072104</v>
      </c>
      <c r="BW58" s="68">
        <f t="shared" si="119"/>
        <v>52.298642907536376</v>
      </c>
      <c r="BX58" s="68">
        <f t="shared" si="120"/>
        <v>47.539404005464277</v>
      </c>
      <c r="BZ58" t="str">
        <f t="shared" si="138"/>
        <v>51 Skilled agricultural and related trades</v>
      </c>
      <c r="CA58" s="17">
        <f t="shared" si="147"/>
        <v>1.5066174599428057</v>
      </c>
      <c r="CB58" s="17">
        <f t="shared" si="147"/>
        <v>1.4797519040851363</v>
      </c>
      <c r="CC58" s="17">
        <f t="shared" si="147"/>
        <v>1.4405572529318422</v>
      </c>
      <c r="CD58" s="17">
        <f t="shared" si="147"/>
        <v>1.5203705847400142</v>
      </c>
      <c r="CE58" s="17">
        <f t="shared" si="147"/>
        <v>2.5183035251205381</v>
      </c>
      <c r="CG58" s="67">
        <f t="shared" si="122"/>
        <v>4.3646198767604716</v>
      </c>
      <c r="CH58" s="68">
        <f t="shared" si="123"/>
        <v>44.779419101514797</v>
      </c>
      <c r="CI58" s="68">
        <f t="shared" si="124"/>
        <v>49.144038978275269</v>
      </c>
      <c r="CK58" t="str">
        <f t="shared" si="139"/>
        <v>51 Skilled agricultural and related trades</v>
      </c>
      <c r="CL58" s="17">
        <f t="shared" si="148"/>
        <v>2.6191049829993887</v>
      </c>
      <c r="CM58" s="17">
        <f t="shared" si="148"/>
        <v>2.7841743866870035</v>
      </c>
      <c r="CN58" s="17">
        <f t="shared" si="148"/>
        <v>2.7188533951263976</v>
      </c>
      <c r="CO58" s="17">
        <f t="shared" si="148"/>
        <v>3.1366865234133332</v>
      </c>
      <c r="CP58" s="17">
        <f t="shared" si="148"/>
        <v>2.2926213635122688</v>
      </c>
      <c r="CR58" s="67">
        <f t="shared" si="126"/>
        <v>-48.632009853877761</v>
      </c>
      <c r="CS58" s="68">
        <f t="shared" si="127"/>
        <v>28.734128986763309</v>
      </c>
      <c r="CT58" s="68">
        <f t="shared" si="128"/>
        <v>-19.897880867114452</v>
      </c>
    </row>
    <row r="59" spans="1:98" x14ac:dyDescent="0.3">
      <c r="A59" t="str">
        <f t="shared" si="95"/>
        <v>52 Skilled metal, electrical and electronic trades</v>
      </c>
      <c r="B59" s="17">
        <f t="shared" si="140"/>
        <v>0.25398279170198518</v>
      </c>
      <c r="C59" s="17">
        <f t="shared" si="140"/>
        <v>0.24250561283062108</v>
      </c>
      <c r="D59" s="17">
        <f t="shared" si="140"/>
        <v>0.24282687821355312</v>
      </c>
      <c r="E59" s="17">
        <f t="shared" si="140"/>
        <v>0.25286705827246653</v>
      </c>
      <c r="F59" s="17">
        <f t="shared" si="140"/>
        <v>0.29109167065721525</v>
      </c>
      <c r="H59" s="67">
        <f t="shared" si="129"/>
        <v>114.29308254942086</v>
      </c>
      <c r="I59" s="68">
        <f t="shared" si="130"/>
        <v>71.241247305820565</v>
      </c>
      <c r="J59" s="68">
        <f t="shared" si="131"/>
        <v>185.53432985524142</v>
      </c>
      <c r="L59" t="str">
        <f t="shared" si="132"/>
        <v>52 Skilled metal, electrical and electronic trades</v>
      </c>
      <c r="M59" s="17">
        <f t="shared" si="141"/>
        <v>0.68255222708893581</v>
      </c>
      <c r="N59" s="17">
        <f t="shared" si="141"/>
        <v>0.68105106352423983</v>
      </c>
      <c r="O59" s="17">
        <f t="shared" si="141"/>
        <v>0.56120364725006211</v>
      </c>
      <c r="P59" s="17">
        <f t="shared" si="141"/>
        <v>0.72368251533037464</v>
      </c>
      <c r="Q59" s="17">
        <f t="shared" si="141"/>
        <v>0.86848833570979667</v>
      </c>
      <c r="S59" s="67">
        <f t="shared" si="98"/>
        <v>179.04551684023852</v>
      </c>
      <c r="T59" s="68">
        <f t="shared" si="99"/>
        <v>96.151002248923461</v>
      </c>
      <c r="U59" s="68">
        <f t="shared" si="100"/>
        <v>275.196519089162</v>
      </c>
      <c r="W59" t="str">
        <f t="shared" si="133"/>
        <v>52 Skilled metal, electrical and electronic trades</v>
      </c>
      <c r="X59" s="17">
        <f t="shared" si="142"/>
        <v>1.0247682376120322</v>
      </c>
      <c r="Y59" s="17">
        <f t="shared" si="142"/>
        <v>1.0158271507848455</v>
      </c>
      <c r="Z59" s="17">
        <f t="shared" si="142"/>
        <v>0.83363348447725993</v>
      </c>
      <c r="AA59" s="17">
        <f t="shared" si="142"/>
        <v>0.97835035232707523</v>
      </c>
      <c r="AB59" s="17">
        <f t="shared" si="142"/>
        <v>1.1102537684842038</v>
      </c>
      <c r="AD59" s="67">
        <f t="shared" si="102"/>
        <v>58.357751289966231</v>
      </c>
      <c r="AE59" s="68">
        <f t="shared" si="103"/>
        <v>66.657192108125074</v>
      </c>
      <c r="AF59" s="68">
        <f t="shared" si="104"/>
        <v>125.01494339809129</v>
      </c>
      <c r="AH59" t="str">
        <f t="shared" si="134"/>
        <v>52 Skilled metal, electrical and electronic trades</v>
      </c>
      <c r="AI59" s="17">
        <f t="shared" si="143"/>
        <v>1.2595068584148568</v>
      </c>
      <c r="AJ59" s="17">
        <f t="shared" si="143"/>
        <v>1.3366005136322401</v>
      </c>
      <c r="AK59" s="17">
        <f t="shared" si="143"/>
        <v>1.1684848547377544</v>
      </c>
      <c r="AL59" s="17">
        <f t="shared" si="143"/>
        <v>1.3011448794535538</v>
      </c>
      <c r="AM59" s="17">
        <f t="shared" si="143"/>
        <v>1.51580956050572</v>
      </c>
      <c r="AO59" s="67">
        <f t="shared" si="106"/>
        <v>42.112579922179592</v>
      </c>
      <c r="AP59" s="68">
        <f t="shared" si="107"/>
        <v>55.605060137042216</v>
      </c>
      <c r="AQ59" s="68">
        <f t="shared" si="108"/>
        <v>97.717640059221793</v>
      </c>
      <c r="AS59" t="str">
        <f t="shared" si="135"/>
        <v>52 Skilled metal, electrical and electronic trades</v>
      </c>
      <c r="AT59" s="17">
        <f t="shared" si="144"/>
        <v>5.4017198146620213</v>
      </c>
      <c r="AU59" s="17">
        <f t="shared" si="144"/>
        <v>5.2240943208806119</v>
      </c>
      <c r="AV59" s="17">
        <f t="shared" si="144"/>
        <v>4.4980892725408665</v>
      </c>
      <c r="AW59" s="17">
        <f t="shared" si="144"/>
        <v>4.7227002920122718</v>
      </c>
      <c r="AX59" s="17">
        <f t="shared" si="144"/>
        <v>5.0501664888553091</v>
      </c>
      <c r="AZ59" s="67">
        <f t="shared" si="110"/>
        <v>32.537860942565608</v>
      </c>
      <c r="BA59" s="68">
        <f t="shared" si="111"/>
        <v>52.774299996099096</v>
      </c>
      <c r="BB59" s="68">
        <f t="shared" si="112"/>
        <v>85.31216093866469</v>
      </c>
      <c r="BD59" t="str">
        <f t="shared" si="136"/>
        <v>52 Skilled metal, electrical and electronic trades</v>
      </c>
      <c r="BE59" s="17">
        <f t="shared" si="145"/>
        <v>7.4863760549484901</v>
      </c>
      <c r="BF59" s="17">
        <f t="shared" si="145"/>
        <v>7.4128782725973759</v>
      </c>
      <c r="BG59" s="17">
        <f t="shared" si="145"/>
        <v>6.6331926761227251</v>
      </c>
      <c r="BH59" s="17">
        <f t="shared" si="145"/>
        <v>6.4608992156741127</v>
      </c>
      <c r="BI59" s="17">
        <f t="shared" si="145"/>
        <v>6.0569887495774921</v>
      </c>
      <c r="BK59" s="67">
        <f t="shared" si="114"/>
        <v>-9.0292254162409833</v>
      </c>
      <c r="BL59" s="68">
        <f t="shared" si="115"/>
        <v>32.897251902123919</v>
      </c>
      <c r="BM59" s="68">
        <f t="shared" si="116"/>
        <v>23.868026485882936</v>
      </c>
      <c r="BO59" t="str">
        <f t="shared" si="137"/>
        <v>52 Skilled metal, electrical and electronic trades</v>
      </c>
      <c r="BP59" s="17">
        <f t="shared" si="146"/>
        <v>4.4745973973092497</v>
      </c>
      <c r="BQ59" s="17">
        <f t="shared" si="146"/>
        <v>4.4696310815453764</v>
      </c>
      <c r="BR59" s="17">
        <f t="shared" si="146"/>
        <v>4.1197439809656666</v>
      </c>
      <c r="BS59" s="17">
        <f t="shared" si="146"/>
        <v>3.9366760256603883</v>
      </c>
      <c r="BT59" s="17">
        <f t="shared" si="146"/>
        <v>3.8371547524128609</v>
      </c>
      <c r="BV59" s="67">
        <f t="shared" si="118"/>
        <v>-25.340496057805652</v>
      </c>
      <c r="BW59" s="68">
        <f t="shared" si="119"/>
        <v>31.681486757617332</v>
      </c>
      <c r="BX59" s="68">
        <f t="shared" si="120"/>
        <v>6.340990699811683</v>
      </c>
      <c r="BZ59" t="str">
        <f t="shared" si="138"/>
        <v>52 Skilled metal, electrical and electronic trades</v>
      </c>
      <c r="CA59" s="17">
        <f t="shared" si="147"/>
        <v>3.3912434438932326</v>
      </c>
      <c r="CB59" s="17">
        <f t="shared" si="147"/>
        <v>3.3586569753024493</v>
      </c>
      <c r="CC59" s="17">
        <f t="shared" si="147"/>
        <v>3.0664376995165021</v>
      </c>
      <c r="CD59" s="17">
        <f t="shared" si="147"/>
        <v>3.1536623140011812</v>
      </c>
      <c r="CE59" s="17">
        <f t="shared" si="147"/>
        <v>2.6665381197113027</v>
      </c>
      <c r="CG59" s="67">
        <f t="shared" si="122"/>
        <v>-48.085413814831639</v>
      </c>
      <c r="CH59" s="68">
        <f t="shared" si="123"/>
        <v>28.413264578430002</v>
      </c>
      <c r="CI59" s="68">
        <f t="shared" si="124"/>
        <v>-19.672149236401633</v>
      </c>
      <c r="CK59" t="str">
        <f t="shared" si="139"/>
        <v>52 Skilled metal, electrical and electronic trades</v>
      </c>
      <c r="CL59" s="17">
        <f t="shared" si="148"/>
        <v>3.4300779044217777</v>
      </c>
      <c r="CM59" s="17">
        <f t="shared" si="148"/>
        <v>3.8662176094477987</v>
      </c>
      <c r="CN59" s="17">
        <f t="shared" si="148"/>
        <v>3.5598988720565936</v>
      </c>
      <c r="CO59" s="17">
        <f t="shared" si="148"/>
        <v>3.8961745651286148</v>
      </c>
      <c r="CP59" s="17">
        <f t="shared" si="148"/>
        <v>3.4682521789121132</v>
      </c>
      <c r="CR59" s="67">
        <f t="shared" si="126"/>
        <v>-40.650230604036402</v>
      </c>
      <c r="CS59" s="68">
        <f t="shared" si="127"/>
        <v>27.11467330048184</v>
      </c>
      <c r="CT59" s="68">
        <f t="shared" si="128"/>
        <v>-13.53555730355456</v>
      </c>
    </row>
    <row r="60" spans="1:98" x14ac:dyDescent="0.3">
      <c r="A60" t="str">
        <f t="shared" si="95"/>
        <v>53 Skilled construction and building trades</v>
      </c>
      <c r="B60" s="17">
        <f t="shared" si="140"/>
        <v>0.1379317298869919</v>
      </c>
      <c r="C60" s="17">
        <f t="shared" si="140"/>
        <v>8.2972606298937518E-2</v>
      </c>
      <c r="D60" s="17">
        <f t="shared" si="140"/>
        <v>5.9206454216629983E-2</v>
      </c>
      <c r="E60" s="17">
        <f t="shared" si="140"/>
        <v>8.6120030435128739E-2</v>
      </c>
      <c r="F60" s="17">
        <f t="shared" si="140"/>
        <v>8.0332567644088901E-2</v>
      </c>
      <c r="H60" s="67">
        <f t="shared" si="129"/>
        <v>142.54801560493021</v>
      </c>
      <c r="I60" s="68">
        <f t="shared" si="130"/>
        <v>89.590905109693281</v>
      </c>
      <c r="J60" s="68">
        <f t="shared" si="131"/>
        <v>232.13892071462351</v>
      </c>
      <c r="L60" t="str">
        <f t="shared" si="132"/>
        <v>53 Skilled construction and building trades</v>
      </c>
      <c r="M60" s="17">
        <f t="shared" si="141"/>
        <v>0.35965010978132539</v>
      </c>
      <c r="N60" s="17">
        <f t="shared" si="141"/>
        <v>0.32597419572877295</v>
      </c>
      <c r="O60" s="17">
        <f t="shared" si="141"/>
        <v>0.25894113920274531</v>
      </c>
      <c r="P60" s="17">
        <f t="shared" si="141"/>
        <v>0.31209354771241044</v>
      </c>
      <c r="Q60" s="17">
        <f t="shared" si="141"/>
        <v>0.36058434900520747</v>
      </c>
      <c r="S60" s="67">
        <f t="shared" si="98"/>
        <v>151.09459393635905</v>
      </c>
      <c r="T60" s="68">
        <f t="shared" si="99"/>
        <v>92.226305765365538</v>
      </c>
      <c r="U60" s="68">
        <f t="shared" si="100"/>
        <v>243.32089970172456</v>
      </c>
      <c r="W60" t="str">
        <f t="shared" si="133"/>
        <v>53 Skilled construction and building trades</v>
      </c>
      <c r="X60" s="17">
        <f t="shared" si="142"/>
        <v>0.61346512327373581</v>
      </c>
      <c r="Y60" s="17">
        <f t="shared" si="142"/>
        <v>0.54609456210380791</v>
      </c>
      <c r="Z60" s="17">
        <f t="shared" si="142"/>
        <v>0.45902151019654458</v>
      </c>
      <c r="AA60" s="17">
        <f t="shared" si="142"/>
        <v>0.54935444401858013</v>
      </c>
      <c r="AB60" s="17">
        <f t="shared" si="142"/>
        <v>0.58609229787798534</v>
      </c>
      <c r="AD60" s="67">
        <f t="shared" si="102"/>
        <v>51.818675192444609</v>
      </c>
      <c r="AE60" s="68">
        <f t="shared" si="103"/>
        <v>71.132173908594481</v>
      </c>
      <c r="AF60" s="68">
        <f t="shared" si="104"/>
        <v>122.95084910103908</v>
      </c>
      <c r="AH60" t="str">
        <f t="shared" si="134"/>
        <v>53 Skilled construction and building trades</v>
      </c>
      <c r="AI60" s="17">
        <f t="shared" si="143"/>
        <v>1.2622722848899848</v>
      </c>
      <c r="AJ60" s="17">
        <f t="shared" si="143"/>
        <v>1.3930130074625939</v>
      </c>
      <c r="AK60" s="17">
        <f t="shared" si="143"/>
        <v>1.16934159996536</v>
      </c>
      <c r="AL60" s="17">
        <f t="shared" si="143"/>
        <v>1.4538273849232879</v>
      </c>
      <c r="AM60" s="17">
        <f t="shared" si="143"/>
        <v>1.6277930595458412</v>
      </c>
      <c r="AO60" s="67">
        <f t="shared" si="106"/>
        <v>52.499620072411588</v>
      </c>
      <c r="AP60" s="68">
        <f t="shared" si="107"/>
        <v>74.922284427024039</v>
      </c>
      <c r="AQ60" s="68">
        <f t="shared" si="108"/>
        <v>127.42190449943563</v>
      </c>
      <c r="AS60" t="str">
        <f t="shared" si="135"/>
        <v>53 Skilled construction and building trades</v>
      </c>
      <c r="AT60" s="17">
        <f t="shared" si="144"/>
        <v>2.0999153997686926</v>
      </c>
      <c r="AU60" s="17">
        <f t="shared" si="144"/>
        <v>1.9343151565649381</v>
      </c>
      <c r="AV60" s="17">
        <f t="shared" si="144"/>
        <v>1.6681388160946851</v>
      </c>
      <c r="AW60" s="17">
        <f t="shared" si="144"/>
        <v>2.0743718931556132</v>
      </c>
      <c r="AX60" s="17">
        <f t="shared" si="144"/>
        <v>2.1408036140112663</v>
      </c>
      <c r="AZ60" s="67">
        <f t="shared" si="110"/>
        <v>51.49802564213072</v>
      </c>
      <c r="BA60" s="68">
        <f t="shared" si="111"/>
        <v>75.364210913558011</v>
      </c>
      <c r="BB60" s="68">
        <f t="shared" si="112"/>
        <v>126.86223655568871</v>
      </c>
      <c r="BD60" t="str">
        <f t="shared" si="136"/>
        <v>53 Skilled construction and building trades</v>
      </c>
      <c r="BE60" s="17">
        <f t="shared" si="145"/>
        <v>5.5843842656215967</v>
      </c>
      <c r="BF60" s="17">
        <f t="shared" si="145"/>
        <v>5.1302197524776094</v>
      </c>
      <c r="BG60" s="17">
        <f t="shared" si="145"/>
        <v>4.4944779771222976</v>
      </c>
      <c r="BH60" s="17">
        <f t="shared" si="145"/>
        <v>4.5133387758109578</v>
      </c>
      <c r="BI60" s="17">
        <f t="shared" si="145"/>
        <v>4.0028720168740755</v>
      </c>
      <c r="BK60" s="67">
        <f t="shared" si="114"/>
        <v>-11.272103411401703</v>
      </c>
      <c r="BL60" s="68">
        <f t="shared" si="115"/>
        <v>36.156846240322139</v>
      </c>
      <c r="BM60" s="68">
        <f t="shared" si="116"/>
        <v>24.884742828920437</v>
      </c>
      <c r="BO60" t="str">
        <f t="shared" si="137"/>
        <v>53 Skilled construction and building trades</v>
      </c>
      <c r="BP60" s="17">
        <f t="shared" si="146"/>
        <v>4.8016062901929706</v>
      </c>
      <c r="BQ60" s="17">
        <f t="shared" si="146"/>
        <v>5.0464482747044102</v>
      </c>
      <c r="BR60" s="17">
        <f t="shared" si="146"/>
        <v>4.5701230252204708</v>
      </c>
      <c r="BS60" s="17">
        <f t="shared" si="146"/>
        <v>5.2143885875852165</v>
      </c>
      <c r="BT60" s="17">
        <f t="shared" si="146"/>
        <v>6.1499342792978684</v>
      </c>
      <c r="BV60" s="67">
        <f t="shared" si="118"/>
        <v>7.8669991433953479</v>
      </c>
      <c r="BW60" s="68">
        <f t="shared" si="119"/>
        <v>47.646250015664165</v>
      </c>
      <c r="BX60" s="68">
        <f t="shared" si="120"/>
        <v>55.513249159059505</v>
      </c>
      <c r="BZ60" t="str">
        <f t="shared" si="138"/>
        <v>53 Skilled construction and building trades</v>
      </c>
      <c r="CA60" s="17">
        <f t="shared" si="147"/>
        <v>3.793604897937493</v>
      </c>
      <c r="CB60" s="17">
        <f t="shared" si="147"/>
        <v>3.7763004839103402</v>
      </c>
      <c r="CC60" s="17">
        <f t="shared" si="147"/>
        <v>3.4071226862163342</v>
      </c>
      <c r="CD60" s="17">
        <f t="shared" si="147"/>
        <v>3.9670321022085835</v>
      </c>
      <c r="CE60" s="17">
        <f t="shared" si="147"/>
        <v>5.5101016019447258</v>
      </c>
      <c r="CG60" s="67">
        <f t="shared" si="122"/>
        <v>-3.4510443781548621</v>
      </c>
      <c r="CH60" s="68">
        <f t="shared" si="123"/>
        <v>39.342108923017385</v>
      </c>
      <c r="CI60" s="68">
        <f t="shared" si="124"/>
        <v>35.891064544862523</v>
      </c>
      <c r="CK60" t="str">
        <f t="shared" si="139"/>
        <v>53 Skilled construction and building trades</v>
      </c>
      <c r="CL60" s="17">
        <f t="shared" si="148"/>
        <v>5.5817022502919134</v>
      </c>
      <c r="CM60" s="17">
        <f t="shared" si="148"/>
        <v>5.5683608115448546</v>
      </c>
      <c r="CN60" s="17">
        <f t="shared" si="148"/>
        <v>4.9343653169704034</v>
      </c>
      <c r="CO60" s="17">
        <f t="shared" si="148"/>
        <v>4.4258937143578665</v>
      </c>
      <c r="CP60" s="17">
        <f t="shared" si="148"/>
        <v>1.5346082447266125</v>
      </c>
      <c r="CR60" s="67">
        <f t="shared" si="126"/>
        <v>-81.054230176992505</v>
      </c>
      <c r="CS60" s="68">
        <f t="shared" si="127"/>
        <v>16.195652014726203</v>
      </c>
      <c r="CT60" s="68">
        <f t="shared" si="128"/>
        <v>-64.858578162266284</v>
      </c>
    </row>
    <row r="61" spans="1:98" x14ac:dyDescent="0.3">
      <c r="A61" t="str">
        <f t="shared" si="95"/>
        <v>54 Textiles, printing and other skilled trades</v>
      </c>
      <c r="B61" s="17">
        <f t="shared" si="140"/>
        <v>0.5146144735819187</v>
      </c>
      <c r="C61" s="17">
        <f t="shared" si="140"/>
        <v>0.4304520946734291</v>
      </c>
      <c r="D61" s="17">
        <f t="shared" si="140"/>
        <v>0.4130102997221799</v>
      </c>
      <c r="E61" s="17">
        <f t="shared" si="140"/>
        <v>0.45415425980709762</v>
      </c>
      <c r="F61" s="17">
        <f t="shared" si="140"/>
        <v>0.49036822100975519</v>
      </c>
      <c r="H61" s="67">
        <f t="shared" si="129"/>
        <v>112.24455871774235</v>
      </c>
      <c r="I61" s="68">
        <f t="shared" si="130"/>
        <v>82.518081566899937</v>
      </c>
      <c r="J61" s="68">
        <f t="shared" si="131"/>
        <v>194.76264028464229</v>
      </c>
      <c r="L61" t="str">
        <f t="shared" si="132"/>
        <v>54 Textiles, printing and other skilled trades</v>
      </c>
      <c r="M61" s="17">
        <f t="shared" si="141"/>
        <v>0.62907266410439266</v>
      </c>
      <c r="N61" s="17">
        <f t="shared" si="141"/>
        <v>0.59733424586304706</v>
      </c>
      <c r="O61" s="17">
        <f t="shared" si="141"/>
        <v>0.58845841819511246</v>
      </c>
      <c r="P61" s="17">
        <f t="shared" si="141"/>
        <v>0.66292407350251159</v>
      </c>
      <c r="Q61" s="17">
        <f t="shared" si="141"/>
        <v>0.81355114002051587</v>
      </c>
      <c r="S61" s="67">
        <f t="shared" si="98"/>
        <v>149.28756890273769</v>
      </c>
      <c r="T61" s="68">
        <f t="shared" si="99"/>
        <v>94.270290757154072</v>
      </c>
      <c r="U61" s="68">
        <f t="shared" si="100"/>
        <v>243.55785965989173</v>
      </c>
      <c r="W61" t="str">
        <f t="shared" si="133"/>
        <v>54 Textiles, printing and other skilled trades</v>
      </c>
      <c r="X61" s="17">
        <f t="shared" si="142"/>
        <v>0.93207352564464008</v>
      </c>
      <c r="Y61" s="17">
        <f t="shared" si="142"/>
        <v>0.86106307112157643</v>
      </c>
      <c r="Z61" s="17">
        <f t="shared" si="142"/>
        <v>0.81094945868114154</v>
      </c>
      <c r="AA61" s="17">
        <f t="shared" si="142"/>
        <v>0.93370508769529992</v>
      </c>
      <c r="AB61" s="17">
        <f t="shared" si="142"/>
        <v>1.065105668330105</v>
      </c>
      <c r="AD61" s="67">
        <f t="shared" si="102"/>
        <v>56.167669151658728</v>
      </c>
      <c r="AE61" s="68">
        <f t="shared" si="103"/>
        <v>73.83621509468837</v>
      </c>
      <c r="AF61" s="68">
        <f t="shared" si="104"/>
        <v>130.0038842463471</v>
      </c>
      <c r="AH61" t="str">
        <f t="shared" si="134"/>
        <v>54 Textiles, printing and other skilled trades</v>
      </c>
      <c r="AI61" s="17">
        <f t="shared" si="143"/>
        <v>1.2145205831502641</v>
      </c>
      <c r="AJ61" s="17">
        <f t="shared" si="143"/>
        <v>1.1711289396158966</v>
      </c>
      <c r="AK61" s="17">
        <f t="shared" si="143"/>
        <v>1.1867912427121239</v>
      </c>
      <c r="AL61" s="17">
        <f t="shared" si="143"/>
        <v>1.2819091553102457</v>
      </c>
      <c r="AM61" s="17">
        <f t="shared" si="143"/>
        <v>1.4426694836994747</v>
      </c>
      <c r="AO61" s="67">
        <f t="shared" si="106"/>
        <v>33.169105283872071</v>
      </c>
      <c r="AP61" s="68">
        <f t="shared" si="107"/>
        <v>65.768280906117155</v>
      </c>
      <c r="AQ61" s="68">
        <f t="shared" si="108"/>
        <v>98.937386189989226</v>
      </c>
      <c r="AS61" t="str">
        <f t="shared" si="135"/>
        <v>54 Textiles, printing and other skilled trades</v>
      </c>
      <c r="AT61" s="17">
        <f t="shared" si="144"/>
        <v>1.5418973885859013</v>
      </c>
      <c r="AU61" s="17">
        <f t="shared" si="144"/>
        <v>1.3902632951251059</v>
      </c>
      <c r="AV61" s="17">
        <f t="shared" si="144"/>
        <v>1.3447141217250078</v>
      </c>
      <c r="AW61" s="17">
        <f t="shared" si="144"/>
        <v>1.5000342373661548</v>
      </c>
      <c r="AX61" s="17">
        <f t="shared" si="144"/>
        <v>1.5950426351938156</v>
      </c>
      <c r="AZ61" s="67">
        <f t="shared" si="110"/>
        <v>40.024703706825136</v>
      </c>
      <c r="BA61" s="68">
        <f t="shared" si="111"/>
        <v>66.915643030420426</v>
      </c>
      <c r="BB61" s="68">
        <f t="shared" si="112"/>
        <v>106.94034673724558</v>
      </c>
      <c r="BD61" t="str">
        <f t="shared" si="136"/>
        <v>54 Textiles, printing and other skilled trades</v>
      </c>
      <c r="BE61" s="17">
        <f t="shared" si="145"/>
        <v>2.664332332026055</v>
      </c>
      <c r="BF61" s="17">
        <f t="shared" si="145"/>
        <v>2.4203135930131965</v>
      </c>
      <c r="BG61" s="17">
        <f t="shared" si="145"/>
        <v>2.3056769370330148</v>
      </c>
      <c r="BH61" s="17">
        <f t="shared" si="145"/>
        <v>2.4408684887062262</v>
      </c>
      <c r="BI61" s="17">
        <f t="shared" si="145"/>
        <v>2.4776977878557847</v>
      </c>
      <c r="BK61" s="67">
        <f t="shared" si="114"/>
        <v>7.0576277423888918</v>
      </c>
      <c r="BL61" s="68">
        <f t="shared" si="115"/>
        <v>43.271068793468402</v>
      </c>
      <c r="BM61" s="68">
        <f t="shared" si="116"/>
        <v>50.328696535857297</v>
      </c>
      <c r="BO61" t="str">
        <f t="shared" si="137"/>
        <v>54 Textiles, printing and other skilled trades</v>
      </c>
      <c r="BP61" s="17">
        <f t="shared" si="146"/>
        <v>2.8345725845843361</v>
      </c>
      <c r="BQ61" s="17">
        <f t="shared" si="146"/>
        <v>2.4040255789844207</v>
      </c>
      <c r="BR61" s="17">
        <f t="shared" si="146"/>
        <v>2.4344944867313068</v>
      </c>
      <c r="BS61" s="17">
        <f t="shared" si="146"/>
        <v>2.2023398113468953</v>
      </c>
      <c r="BT61" s="17">
        <f t="shared" si="146"/>
        <v>2.2674981493993709</v>
      </c>
      <c r="BV61" s="67">
        <f t="shared" si="118"/>
        <v>-25.34065779336143</v>
      </c>
      <c r="BW61" s="68">
        <f t="shared" si="119"/>
        <v>32.887488514596377</v>
      </c>
      <c r="BX61" s="68">
        <f t="shared" si="120"/>
        <v>7.5468307212349384</v>
      </c>
      <c r="BZ61" t="str">
        <f t="shared" si="138"/>
        <v>54 Textiles, printing and other skilled trades</v>
      </c>
      <c r="CA61" s="17">
        <f t="shared" si="147"/>
        <v>3.5731542185163203</v>
      </c>
      <c r="CB61" s="17">
        <f t="shared" si="147"/>
        <v>3.3266440139830058</v>
      </c>
      <c r="CC61" s="17">
        <f t="shared" si="147"/>
        <v>3.3617483928853322</v>
      </c>
      <c r="CD61" s="17">
        <f t="shared" si="147"/>
        <v>3.6233504440005468</v>
      </c>
      <c r="CE61" s="17">
        <f t="shared" si="147"/>
        <v>4.2392687798987705</v>
      </c>
      <c r="CG61" s="67">
        <f t="shared" si="122"/>
        <v>-24.716206904047279</v>
      </c>
      <c r="CH61" s="68">
        <f t="shared" si="123"/>
        <v>31.802115888668514</v>
      </c>
      <c r="CI61" s="68">
        <f t="shared" si="124"/>
        <v>7.0859089846212351</v>
      </c>
      <c r="CK61" t="str">
        <f t="shared" si="139"/>
        <v>54 Textiles, printing and other skilled trades</v>
      </c>
      <c r="CL61" s="17">
        <f t="shared" si="148"/>
        <v>4.2722278134447</v>
      </c>
      <c r="CM61" s="17">
        <f t="shared" si="148"/>
        <v>3.9642778076843155</v>
      </c>
      <c r="CN61" s="17">
        <f t="shared" si="148"/>
        <v>4.0002102073519747</v>
      </c>
      <c r="CO61" s="17">
        <f t="shared" si="148"/>
        <v>3.3325560630301343</v>
      </c>
      <c r="CP61" s="17">
        <f t="shared" si="148"/>
        <v>2.9723975714874764</v>
      </c>
      <c r="CR61" s="67">
        <f t="shared" si="126"/>
        <v>-54.734209084935692</v>
      </c>
      <c r="CS61" s="68">
        <f t="shared" si="127"/>
        <v>19.306068543182466</v>
      </c>
      <c r="CT61" s="68">
        <f t="shared" si="128"/>
        <v>-35.428140541753216</v>
      </c>
    </row>
    <row r="62" spans="1:98" x14ac:dyDescent="0.3">
      <c r="A62" t="str">
        <f t="shared" si="95"/>
        <v>61 Caring personal service occupations</v>
      </c>
      <c r="B62" s="17">
        <f t="shared" si="140"/>
        <v>0.39234354947552968</v>
      </c>
      <c r="C62" s="17">
        <f t="shared" si="140"/>
        <v>0.37235033612819823</v>
      </c>
      <c r="D62" s="17">
        <f t="shared" si="140"/>
        <v>0.3578227309613341</v>
      </c>
      <c r="E62" s="17">
        <f t="shared" si="140"/>
        <v>0.429362029182634</v>
      </c>
      <c r="F62" s="17">
        <f t="shared" si="140"/>
        <v>0.51239309389752818</v>
      </c>
      <c r="H62" s="67">
        <f t="shared" si="129"/>
        <v>155.98261522587785</v>
      </c>
      <c r="I62" s="68">
        <f t="shared" si="130"/>
        <v>99.65303812926156</v>
      </c>
      <c r="J62" s="68">
        <f t="shared" si="131"/>
        <v>255.63565335513937</v>
      </c>
      <c r="L62" t="str">
        <f t="shared" si="132"/>
        <v>61 Caring personal service occupations</v>
      </c>
      <c r="M62" s="17">
        <f t="shared" si="141"/>
        <v>2.5769512247269746</v>
      </c>
      <c r="N62" s="17">
        <f t="shared" si="141"/>
        <v>2.6978222969744041</v>
      </c>
      <c r="O62" s="17">
        <f t="shared" si="141"/>
        <v>2.5453729214906216</v>
      </c>
      <c r="P62" s="17">
        <f t="shared" si="141"/>
        <v>2.8921760581147358</v>
      </c>
      <c r="Q62" s="17">
        <f t="shared" si="141"/>
        <v>3.3361480731507909</v>
      </c>
      <c r="S62" s="67">
        <f t="shared" si="98"/>
        <v>136.3335850549152</v>
      </c>
      <c r="T62" s="68">
        <f t="shared" si="99"/>
        <v>100.43908959224022</v>
      </c>
      <c r="U62" s="68">
        <f t="shared" si="100"/>
        <v>236.77267464715547</v>
      </c>
      <c r="W62" t="str">
        <f t="shared" si="133"/>
        <v>61 Caring personal service occupations</v>
      </c>
      <c r="X62" s="17">
        <f t="shared" si="142"/>
        <v>4.1406595113466826</v>
      </c>
      <c r="Y62" s="17">
        <f t="shared" si="142"/>
        <v>4.2366450904158848</v>
      </c>
      <c r="Z62" s="17">
        <f t="shared" si="142"/>
        <v>4.1339574957776497</v>
      </c>
      <c r="AA62" s="17">
        <f t="shared" si="142"/>
        <v>4.618705075212036</v>
      </c>
      <c r="AB62" s="17">
        <f t="shared" si="142"/>
        <v>5.0798985634979097</v>
      </c>
      <c r="AD62" s="67">
        <f t="shared" si="102"/>
        <v>46.110441798458737</v>
      </c>
      <c r="AE62" s="68">
        <f t="shared" si="103"/>
        <v>82.450017812876425</v>
      </c>
      <c r="AF62" s="68">
        <f t="shared" si="104"/>
        <v>128.56045961133515</v>
      </c>
      <c r="AH62" t="str">
        <f t="shared" si="134"/>
        <v>61 Caring personal service occupations</v>
      </c>
      <c r="AI62" s="17">
        <f t="shared" si="143"/>
        <v>12.855254126966734</v>
      </c>
      <c r="AJ62" s="17">
        <f t="shared" si="143"/>
        <v>12.713608729564264</v>
      </c>
      <c r="AK62" s="17">
        <f t="shared" si="143"/>
        <v>12.471964207369265</v>
      </c>
      <c r="AL62" s="17">
        <f t="shared" si="143"/>
        <v>13.134168985587197</v>
      </c>
      <c r="AM62" s="17">
        <f t="shared" si="143"/>
        <v>12.629637325132444</v>
      </c>
      <c r="AO62" s="67">
        <f t="shared" si="106"/>
        <v>10.934592685376115</v>
      </c>
      <c r="AP62" s="68">
        <f t="shared" si="107"/>
        <v>63.236575525505422</v>
      </c>
      <c r="AQ62" s="68">
        <f t="shared" si="108"/>
        <v>74.171168210881532</v>
      </c>
      <c r="AS62" t="str">
        <f t="shared" si="135"/>
        <v>61 Caring personal service occupations</v>
      </c>
      <c r="AT62" s="17">
        <f t="shared" si="144"/>
        <v>7.2344550608103564</v>
      </c>
      <c r="AU62" s="17">
        <f t="shared" si="144"/>
        <v>7.31710544621005</v>
      </c>
      <c r="AV62" s="17">
        <f t="shared" si="144"/>
        <v>7.1604531927182968</v>
      </c>
      <c r="AW62" s="17">
        <f t="shared" si="144"/>
        <v>7.3929481754043014</v>
      </c>
      <c r="AX62" s="17">
        <f t="shared" si="144"/>
        <v>7.2871160048759753</v>
      </c>
      <c r="AZ62" s="67">
        <f t="shared" si="110"/>
        <v>20.137199781634184</v>
      </c>
      <c r="BA62" s="68">
        <f t="shared" si="111"/>
        <v>67.20157846417996</v>
      </c>
      <c r="BB62" s="68">
        <f t="shared" si="112"/>
        <v>87.33877824581414</v>
      </c>
      <c r="BD62" t="str">
        <f t="shared" si="136"/>
        <v>61 Caring personal service occupations</v>
      </c>
      <c r="BE62" s="17">
        <f t="shared" si="145"/>
        <v>11.822509213966532</v>
      </c>
      <c r="BF62" s="17">
        <f t="shared" si="145"/>
        <v>12.70845152505051</v>
      </c>
      <c r="BG62" s="17">
        <f t="shared" si="145"/>
        <v>12.571875256696947</v>
      </c>
      <c r="BH62" s="17">
        <f t="shared" si="145"/>
        <v>14.100327151500158</v>
      </c>
      <c r="BI62" s="17">
        <f t="shared" si="145"/>
        <v>16.208548067788207</v>
      </c>
      <c r="BK62" s="67">
        <f t="shared" si="114"/>
        <v>28.443398562252671</v>
      </c>
      <c r="BL62" s="68">
        <f t="shared" si="115"/>
        <v>64.820353994643654</v>
      </c>
      <c r="BM62" s="68">
        <f t="shared" si="116"/>
        <v>93.263752556896335</v>
      </c>
      <c r="BO62" t="str">
        <f t="shared" si="137"/>
        <v>61 Caring personal service occupations</v>
      </c>
      <c r="BP62" s="17">
        <f t="shared" si="146"/>
        <v>9.6019277073254354</v>
      </c>
      <c r="BQ62" s="17">
        <f t="shared" si="146"/>
        <v>9.4212092817204471</v>
      </c>
      <c r="BR62" s="17">
        <f t="shared" si="146"/>
        <v>9.2024560518906977</v>
      </c>
      <c r="BS62" s="17">
        <f t="shared" si="146"/>
        <v>9.5523393835653465</v>
      </c>
      <c r="BT62" s="17">
        <f t="shared" si="146"/>
        <v>9.2633814706549717</v>
      </c>
      <c r="BV62" s="67">
        <f t="shared" si="118"/>
        <v>-19.311468768330073</v>
      </c>
      <c r="BW62" s="68">
        <f t="shared" si="119"/>
        <v>45.931973135765539</v>
      </c>
      <c r="BX62" s="68">
        <f t="shared" si="120"/>
        <v>26.620504367435458</v>
      </c>
      <c r="BZ62" t="str">
        <f t="shared" si="138"/>
        <v>61 Caring personal service occupations</v>
      </c>
      <c r="CA62" s="17">
        <f t="shared" si="147"/>
        <v>4.1833624037060062</v>
      </c>
      <c r="CB62" s="17">
        <f t="shared" si="147"/>
        <v>2.5765833768742672</v>
      </c>
      <c r="CC62" s="17">
        <f t="shared" si="147"/>
        <v>2.4040195621110318</v>
      </c>
      <c r="CD62" s="17">
        <f t="shared" si="147"/>
        <v>1.9751150076418631</v>
      </c>
      <c r="CE62" s="17">
        <f t="shared" si="147"/>
        <v>2.4971127449412482</v>
      </c>
      <c r="CG62" s="67">
        <f t="shared" si="122"/>
        <v>-37.987976984281488</v>
      </c>
      <c r="CH62" s="68">
        <f t="shared" si="123"/>
        <v>23.092457142729423</v>
      </c>
      <c r="CI62" s="68">
        <f t="shared" si="124"/>
        <v>-14.895519841552071</v>
      </c>
      <c r="CK62" t="str">
        <f t="shared" si="139"/>
        <v>61 Caring personal service occupations</v>
      </c>
      <c r="CL62" s="17">
        <f t="shared" si="148"/>
        <v>1.767647165007818</v>
      </c>
      <c r="CM62" s="17">
        <f t="shared" si="148"/>
        <v>1.68315195872237</v>
      </c>
      <c r="CN62" s="17">
        <f t="shared" si="148"/>
        <v>1.7484401668023861</v>
      </c>
      <c r="CO62" s="17">
        <f t="shared" si="148"/>
        <v>2.3168590718589841</v>
      </c>
      <c r="CP62" s="17">
        <f t="shared" si="148"/>
        <v>3.1307128149783856</v>
      </c>
      <c r="CR62" s="67">
        <f t="shared" si="126"/>
        <v>9.0783311892392486</v>
      </c>
      <c r="CS62" s="68">
        <f t="shared" si="127"/>
        <v>30.455516546268363</v>
      </c>
      <c r="CT62" s="68">
        <f t="shared" si="128"/>
        <v>39.533847735507614</v>
      </c>
    </row>
    <row r="63" spans="1:98" x14ac:dyDescent="0.3">
      <c r="A63" t="str">
        <f t="shared" si="95"/>
        <v>62 Leisure, travel and related personal service occupations</v>
      </c>
      <c r="B63" s="17">
        <f t="shared" si="140"/>
        <v>0.1725199047757616</v>
      </c>
      <c r="C63" s="17">
        <f t="shared" si="140"/>
        <v>0.20332091079707468</v>
      </c>
      <c r="D63" s="17">
        <f t="shared" si="140"/>
        <v>0.20304454115139414</v>
      </c>
      <c r="E63" s="17">
        <f t="shared" si="140"/>
        <v>0.22620181050915611</v>
      </c>
      <c r="F63" s="17">
        <f t="shared" si="140"/>
        <v>0.26857886374416562</v>
      </c>
      <c r="H63" s="67">
        <f t="shared" si="129"/>
        <v>136.4588887268701</v>
      </c>
      <c r="I63" s="68">
        <f t="shared" si="130"/>
        <v>93.609849391109435</v>
      </c>
      <c r="J63" s="68">
        <f t="shared" si="131"/>
        <v>230.06873811797954</v>
      </c>
      <c r="L63" t="str">
        <f t="shared" si="132"/>
        <v>62 Leisure, travel and related personal service occupations</v>
      </c>
      <c r="M63" s="17">
        <f t="shared" si="141"/>
        <v>0.5007663640130704</v>
      </c>
      <c r="N63" s="17">
        <f t="shared" si="141"/>
        <v>0.51063236001924717</v>
      </c>
      <c r="O63" s="17">
        <f t="shared" si="141"/>
        <v>0.44247829153741891</v>
      </c>
      <c r="P63" s="17">
        <f t="shared" si="141"/>
        <v>0.4770738941644202</v>
      </c>
      <c r="Q63" s="17">
        <f t="shared" si="141"/>
        <v>0.54891392509001702</v>
      </c>
      <c r="S63" s="67">
        <f t="shared" si="98"/>
        <v>123.68858590550803</v>
      </c>
      <c r="T63" s="68">
        <f t="shared" si="99"/>
        <v>90.777287588948568</v>
      </c>
      <c r="U63" s="68">
        <f t="shared" si="100"/>
        <v>214.46587349445659</v>
      </c>
      <c r="W63" t="str">
        <f t="shared" si="133"/>
        <v>62 Leisure, travel and related personal service occupations</v>
      </c>
      <c r="X63" s="17">
        <f t="shared" si="142"/>
        <v>1.0968588704791242</v>
      </c>
      <c r="Y63" s="17">
        <f t="shared" si="142"/>
        <v>1.2252545594326236</v>
      </c>
      <c r="Z63" s="17">
        <f t="shared" si="142"/>
        <v>1.1130919027787467</v>
      </c>
      <c r="AA63" s="17">
        <f t="shared" si="142"/>
        <v>1.2867552812383503</v>
      </c>
      <c r="AB63" s="17">
        <f t="shared" si="142"/>
        <v>1.5623471454507638</v>
      </c>
      <c r="AD63" s="67">
        <f t="shared" si="102"/>
        <v>66.893235960272364</v>
      </c>
      <c r="AE63" s="68">
        <f t="shared" si="103"/>
        <v>83.152768235444753</v>
      </c>
      <c r="AF63" s="68">
        <f t="shared" si="104"/>
        <v>150.04600419571713</v>
      </c>
      <c r="AH63" t="str">
        <f t="shared" si="134"/>
        <v>62 Leisure, travel and related personal service occupations</v>
      </c>
      <c r="AI63" s="17">
        <f t="shared" si="143"/>
        <v>2.2626274159775193</v>
      </c>
      <c r="AJ63" s="17">
        <f t="shared" si="143"/>
        <v>2.7896852374878356</v>
      </c>
      <c r="AK63" s="17">
        <f t="shared" si="143"/>
        <v>2.603496618164578</v>
      </c>
      <c r="AL63" s="17">
        <f t="shared" si="143"/>
        <v>2.9869970588893562</v>
      </c>
      <c r="AM63" s="17">
        <f t="shared" si="143"/>
        <v>3.646515339568464</v>
      </c>
      <c r="AO63" s="67">
        <f t="shared" si="106"/>
        <v>53.437670514550831</v>
      </c>
      <c r="AP63" s="68">
        <f t="shared" si="107"/>
        <v>79.149725990442121</v>
      </c>
      <c r="AQ63" s="68">
        <f t="shared" si="108"/>
        <v>132.58739650499294</v>
      </c>
      <c r="AS63" t="str">
        <f t="shared" si="135"/>
        <v>62 Leisure, travel and related personal service occupations</v>
      </c>
      <c r="AT63" s="17">
        <f t="shared" si="144"/>
        <v>2.8026856849716419</v>
      </c>
      <c r="AU63" s="17">
        <f t="shared" si="144"/>
        <v>3.2825955584187576</v>
      </c>
      <c r="AV63" s="17">
        <f t="shared" si="144"/>
        <v>3.2772854984788005</v>
      </c>
      <c r="AW63" s="17">
        <f t="shared" si="144"/>
        <v>3.7291461590394226</v>
      </c>
      <c r="AX63" s="17">
        <f t="shared" si="144"/>
        <v>4.6168935705669947</v>
      </c>
      <c r="AZ63" s="67">
        <f t="shared" si="110"/>
        <v>66.302171033084292</v>
      </c>
      <c r="BA63" s="68">
        <f t="shared" si="111"/>
        <v>83.24298860329209</v>
      </c>
      <c r="BB63" s="68">
        <f t="shared" si="112"/>
        <v>149.54515963637638</v>
      </c>
      <c r="BD63" t="str">
        <f t="shared" si="136"/>
        <v>62 Leisure, travel and related personal service occupations</v>
      </c>
      <c r="BE63" s="17">
        <f t="shared" si="145"/>
        <v>2.8280021337699801</v>
      </c>
      <c r="BF63" s="17">
        <f t="shared" si="145"/>
        <v>2.8559484984419234</v>
      </c>
      <c r="BG63" s="17">
        <f t="shared" si="145"/>
        <v>2.6623466434943537</v>
      </c>
      <c r="BH63" s="17">
        <f t="shared" si="145"/>
        <v>2.5991783620956559</v>
      </c>
      <c r="BI63" s="17">
        <f t="shared" si="145"/>
        <v>2.4244586681835445</v>
      </c>
      <c r="BK63" s="67">
        <f t="shared" si="114"/>
        <v>-9.2768915746077472</v>
      </c>
      <c r="BL63" s="68">
        <f t="shared" si="115"/>
        <v>43.258352937116882</v>
      </c>
      <c r="BM63" s="68">
        <f t="shared" si="116"/>
        <v>33.981461362509137</v>
      </c>
      <c r="BO63" t="str">
        <f t="shared" si="137"/>
        <v>62 Leisure, travel and related personal service occupations</v>
      </c>
      <c r="BP63" s="17">
        <f t="shared" si="146"/>
        <v>2.8853625265334721</v>
      </c>
      <c r="BQ63" s="17">
        <f t="shared" si="146"/>
        <v>2.9373542076142849</v>
      </c>
      <c r="BR63" s="17">
        <f t="shared" si="146"/>
        <v>2.7939297775499874</v>
      </c>
      <c r="BS63" s="17">
        <f t="shared" si="146"/>
        <v>2.6364032680248464</v>
      </c>
      <c r="BT63" s="17">
        <f t="shared" si="146"/>
        <v>2.48835403358681</v>
      </c>
      <c r="BV63" s="67">
        <f t="shared" si="118"/>
        <v>-28.609126285161075</v>
      </c>
      <c r="BW63" s="68">
        <f t="shared" si="119"/>
        <v>39.57712363787715</v>
      </c>
      <c r="BX63" s="68">
        <f t="shared" si="120"/>
        <v>10.967997352716072</v>
      </c>
      <c r="BZ63" t="str">
        <f t="shared" si="138"/>
        <v>62 Leisure, travel and related personal service occupations</v>
      </c>
      <c r="CA63" s="17">
        <f t="shared" si="147"/>
        <v>2.6749685812220223</v>
      </c>
      <c r="CB63" s="17">
        <f t="shared" si="147"/>
        <v>2.9647977976085702</v>
      </c>
      <c r="CC63" s="17">
        <f t="shared" si="147"/>
        <v>2.8777303218882113</v>
      </c>
      <c r="CD63" s="17">
        <f t="shared" si="147"/>
        <v>3.1212720422792724</v>
      </c>
      <c r="CE63" s="17">
        <f t="shared" si="147"/>
        <v>3.6558314449886451</v>
      </c>
      <c r="CG63" s="67">
        <f t="shared" si="122"/>
        <v>-24.157643802864584</v>
      </c>
      <c r="CH63" s="68">
        <f t="shared" si="123"/>
        <v>37.015221552246146</v>
      </c>
      <c r="CI63" s="68">
        <f t="shared" si="124"/>
        <v>12.857577749381566</v>
      </c>
      <c r="CK63" t="str">
        <f t="shared" si="139"/>
        <v>62 Leisure, travel and related personal service occupations</v>
      </c>
      <c r="CL63" s="17">
        <f t="shared" si="148"/>
        <v>2.8658909108718937</v>
      </c>
      <c r="CM63" s="17">
        <f t="shared" si="148"/>
        <v>2.8749010268988346</v>
      </c>
      <c r="CN63" s="17">
        <f t="shared" si="148"/>
        <v>2.8316209444514153</v>
      </c>
      <c r="CO63" s="17">
        <f t="shared" si="148"/>
        <v>2.7859899233266949</v>
      </c>
      <c r="CP63" s="17">
        <f t="shared" si="148"/>
        <v>2.7101041639149632</v>
      </c>
      <c r="CR63" s="67">
        <f t="shared" si="126"/>
        <v>-41.696195267051621</v>
      </c>
      <c r="CS63" s="68">
        <f t="shared" si="127"/>
        <v>23.664980906953748</v>
      </c>
      <c r="CT63" s="68">
        <f t="shared" si="128"/>
        <v>-18.031214360097877</v>
      </c>
    </row>
    <row r="64" spans="1:98" x14ac:dyDescent="0.3">
      <c r="A64" t="str">
        <f t="shared" si="95"/>
        <v>63 Community and civil enforcement occupations</v>
      </c>
      <c r="B64" s="17">
        <f t="shared" si="140"/>
        <v>1.6509722290152792E-2</v>
      </c>
      <c r="C64" s="17">
        <f t="shared" si="140"/>
        <v>1.4136551901005162E-2</v>
      </c>
      <c r="D64" s="17">
        <f t="shared" si="140"/>
        <v>1.5158213906785338E-2</v>
      </c>
      <c r="E64" s="17">
        <f t="shared" si="140"/>
        <v>1.536756947194714E-2</v>
      </c>
      <c r="F64" s="17">
        <f t="shared" si="140"/>
        <v>1.7908770448623133E-2</v>
      </c>
      <c r="H64" s="67">
        <f t="shared" si="129"/>
        <v>111.19949161914093</v>
      </c>
      <c r="I64" s="68">
        <f t="shared" si="130"/>
        <v>86.059888403485218</v>
      </c>
      <c r="J64" s="68">
        <f t="shared" si="131"/>
        <v>197.25938002262615</v>
      </c>
      <c r="L64" t="str">
        <f t="shared" si="132"/>
        <v>63 Community and civil enforcement occupations</v>
      </c>
      <c r="M64" s="17">
        <f t="shared" si="141"/>
        <v>3.9809311048216292E-2</v>
      </c>
      <c r="N64" s="17">
        <f t="shared" si="141"/>
        <v>3.1590361459277551E-2</v>
      </c>
      <c r="O64" s="17">
        <f t="shared" si="141"/>
        <v>4.1141701118131507E-2</v>
      </c>
      <c r="P64" s="17">
        <f t="shared" si="141"/>
        <v>3.4588417816956006E-2</v>
      </c>
      <c r="Q64" s="17">
        <f t="shared" si="141"/>
        <v>4.1392755217565351E-2</v>
      </c>
      <c r="S64" s="67">
        <f t="shared" si="98"/>
        <v>81.415184461852377</v>
      </c>
      <c r="T64" s="68">
        <f t="shared" si="99"/>
        <v>71.277626725459513</v>
      </c>
      <c r="U64" s="68">
        <f t="shared" si="100"/>
        <v>152.69281118731189</v>
      </c>
      <c r="W64" t="str">
        <f t="shared" si="133"/>
        <v>63 Community and civil enforcement occupations</v>
      </c>
      <c r="X64" s="17">
        <f t="shared" si="142"/>
        <v>8.4698909662779667E-2</v>
      </c>
      <c r="Y64" s="17">
        <f t="shared" si="142"/>
        <v>8.0356376265192569E-2</v>
      </c>
      <c r="Z64" s="17">
        <f t="shared" si="142"/>
        <v>8.8392102734464795E-2</v>
      </c>
      <c r="AA64" s="17">
        <f t="shared" si="142"/>
        <v>9.0428195770594744E-2</v>
      </c>
      <c r="AB64" s="17">
        <f t="shared" si="142"/>
        <v>9.9807459998989392E-2</v>
      </c>
      <c r="AD64" s="67">
        <f t="shared" si="102"/>
        <v>34.258490101735312</v>
      </c>
      <c r="AE64" s="68">
        <f t="shared" si="103"/>
        <v>75.552594378894128</v>
      </c>
      <c r="AF64" s="68">
        <f t="shared" si="104"/>
        <v>109.81108448062943</v>
      </c>
      <c r="AH64" t="str">
        <f t="shared" si="134"/>
        <v>63 Community and civil enforcement occupations</v>
      </c>
      <c r="AI64" s="17">
        <f t="shared" si="143"/>
        <v>8.3186123033149345E-2</v>
      </c>
      <c r="AJ64" s="17">
        <f t="shared" si="143"/>
        <v>7.9081507465567497E-2</v>
      </c>
      <c r="AK64" s="17">
        <f t="shared" si="143"/>
        <v>0.10261753356627995</v>
      </c>
      <c r="AL64" s="17">
        <f t="shared" si="143"/>
        <v>9.0592555306212644E-2</v>
      </c>
      <c r="AM64" s="17">
        <f t="shared" si="143"/>
        <v>0.10120439867575932</v>
      </c>
      <c r="AO64" s="67">
        <f t="shared" si="106"/>
        <v>8.0410474986342155</v>
      </c>
      <c r="AP64" s="68">
        <f t="shared" si="107"/>
        <v>57.358851863562009</v>
      </c>
      <c r="AQ64" s="68">
        <f t="shared" si="108"/>
        <v>65.399899362196223</v>
      </c>
      <c r="AS64" t="str">
        <f t="shared" si="135"/>
        <v>63 Community and civil enforcement occupations</v>
      </c>
      <c r="AT64" s="17">
        <f t="shared" si="144"/>
        <v>8.7594213170107696E-2</v>
      </c>
      <c r="AU64" s="17">
        <f t="shared" si="144"/>
        <v>7.1262312060709154E-2</v>
      </c>
      <c r="AV64" s="17">
        <f t="shared" si="144"/>
        <v>8.7570669399949952E-2</v>
      </c>
      <c r="AW64" s="17">
        <f t="shared" si="144"/>
        <v>6.7648277225629841E-2</v>
      </c>
      <c r="AX64" s="17">
        <f t="shared" si="144"/>
        <v>6.417311573178526E-2</v>
      </c>
      <c r="AZ64" s="67">
        <f t="shared" si="110"/>
        <v>-13.491897117958121</v>
      </c>
      <c r="BA64" s="68">
        <f t="shared" si="111"/>
        <v>50.951773217522224</v>
      </c>
      <c r="BB64" s="68">
        <f t="shared" si="112"/>
        <v>37.459876099564099</v>
      </c>
      <c r="BD64" t="str">
        <f t="shared" si="136"/>
        <v>63 Community and civil enforcement occupations</v>
      </c>
      <c r="BE64" s="17">
        <f t="shared" si="145"/>
        <v>9.0166311935829704E-2</v>
      </c>
      <c r="BF64" s="17">
        <f t="shared" si="145"/>
        <v>6.1141177110878832E-2</v>
      </c>
      <c r="BG64" s="17">
        <f t="shared" si="145"/>
        <v>8.9702600654777212E-2</v>
      </c>
      <c r="BH64" s="17">
        <f t="shared" si="145"/>
        <v>5.807034515109169E-2</v>
      </c>
      <c r="BI64" s="17">
        <f t="shared" si="145"/>
        <v>6.0539055747211079E-2</v>
      </c>
      <c r="BK64" s="67">
        <f t="shared" si="114"/>
        <v>-32.764545237883588</v>
      </c>
      <c r="BL64" s="68">
        <f t="shared" si="115"/>
        <v>25.049249831861069</v>
      </c>
      <c r="BM64" s="68">
        <f t="shared" si="116"/>
        <v>-7.7152954060225225</v>
      </c>
      <c r="BO64" t="str">
        <f t="shared" si="137"/>
        <v>63 Community and civil enforcement occupations</v>
      </c>
      <c r="BP64" s="17">
        <f t="shared" si="146"/>
        <v>0.12412750563786262</v>
      </c>
      <c r="BQ64" s="17">
        <f t="shared" si="146"/>
        <v>0.10531731486813756</v>
      </c>
      <c r="BR64" s="17">
        <f t="shared" si="146"/>
        <v>0.14295546218330543</v>
      </c>
      <c r="BS64" s="17">
        <f t="shared" si="146"/>
        <v>0.10936770339276859</v>
      </c>
      <c r="BT64" s="17">
        <f t="shared" si="146"/>
        <v>0.12533828646517217</v>
      </c>
      <c r="BV64" s="67">
        <f t="shared" si="118"/>
        <v>-29.720443474798703</v>
      </c>
      <c r="BW64" s="68">
        <f t="shared" si="119"/>
        <v>31.097220820934059</v>
      </c>
      <c r="BX64" s="68">
        <f t="shared" si="120"/>
        <v>1.3767773461353563</v>
      </c>
      <c r="BZ64" t="str">
        <f t="shared" si="138"/>
        <v>63 Community and civil enforcement occupations</v>
      </c>
      <c r="CA64" s="17">
        <f t="shared" si="147"/>
        <v>0.15295161874142987</v>
      </c>
      <c r="CB64" s="17">
        <f t="shared" si="147"/>
        <v>0.13929505640418405</v>
      </c>
      <c r="CC64" s="17">
        <f t="shared" si="147"/>
        <v>0.19079387172004972</v>
      </c>
      <c r="CD64" s="17">
        <f t="shared" si="147"/>
        <v>0.16788953586619274</v>
      </c>
      <c r="CE64" s="17">
        <f t="shared" si="147"/>
        <v>0.22032215103461464</v>
      </c>
      <c r="CG64" s="67">
        <f t="shared" si="122"/>
        <v>-31.060284389625597</v>
      </c>
      <c r="CH64" s="68">
        <f t="shared" si="123"/>
        <v>30.313555066176175</v>
      </c>
      <c r="CI64" s="68">
        <f t="shared" si="124"/>
        <v>-0.74672932344942489</v>
      </c>
      <c r="CK64" t="str">
        <f t="shared" si="139"/>
        <v>63 Community and civil enforcement occupations</v>
      </c>
      <c r="CL64" s="17">
        <f t="shared" si="148"/>
        <v>0.14001270010777955</v>
      </c>
      <c r="CM64" s="17">
        <f t="shared" si="148"/>
        <v>0.10354934220679739</v>
      </c>
      <c r="CN64" s="17">
        <f t="shared" si="148"/>
        <v>0.1569927248118741</v>
      </c>
      <c r="CO64" s="17">
        <f t="shared" si="148"/>
        <v>9.8576197594283585E-2</v>
      </c>
      <c r="CP64" s="17">
        <f t="shared" si="148"/>
        <v>9.5201242016211093E-2</v>
      </c>
      <c r="CR64" s="67">
        <f t="shared" si="126"/>
        <v>-63.05896016504731</v>
      </c>
      <c r="CS64" s="68">
        <f t="shared" si="127"/>
        <v>13.072214304777962</v>
      </c>
      <c r="CT64" s="68">
        <f t="shared" si="128"/>
        <v>-49.986745860269352</v>
      </c>
    </row>
    <row r="65" spans="1:98" x14ac:dyDescent="0.3">
      <c r="A65" t="str">
        <f t="shared" si="95"/>
        <v>71 Sales occupations</v>
      </c>
      <c r="B65" s="17">
        <f t="shared" ref="B65:F70" si="149">B28/B$35*100</f>
        <v>1.2213775144501693</v>
      </c>
      <c r="C65" s="17">
        <f t="shared" si="149"/>
        <v>1.0940072892205579</v>
      </c>
      <c r="D65" s="17">
        <f t="shared" si="149"/>
        <v>0.95039690134727883</v>
      </c>
      <c r="E65" s="17">
        <f t="shared" si="149"/>
        <v>0.9396363480191301</v>
      </c>
      <c r="F65" s="17">
        <f t="shared" si="149"/>
        <v>0.9841854000004121</v>
      </c>
      <c r="H65" s="67">
        <f t="shared" si="129"/>
        <v>85.117312453049379</v>
      </c>
      <c r="I65" s="68">
        <f t="shared" si="130"/>
        <v>67.24084106466367</v>
      </c>
      <c r="J65" s="68">
        <f t="shared" si="131"/>
        <v>152.35815351771305</v>
      </c>
      <c r="L65" t="str">
        <f t="shared" si="132"/>
        <v>71 Sales occupations</v>
      </c>
      <c r="M65" s="17">
        <f t="shared" ref="M65:Q70" si="150">M28/M$35*100</f>
        <v>2.1720569933496692</v>
      </c>
      <c r="N65" s="17">
        <f t="shared" si="150"/>
        <v>2.0080725502325052</v>
      </c>
      <c r="O65" s="17">
        <f t="shared" si="150"/>
        <v>1.9652603178812562</v>
      </c>
      <c r="P65" s="17">
        <f t="shared" si="150"/>
        <v>2.0094434707699693</v>
      </c>
      <c r="Q65" s="17">
        <f t="shared" si="150"/>
        <v>2.3762180179156527</v>
      </c>
      <c r="S65" s="67">
        <f t="shared" si="98"/>
        <v>118.0207071416761</v>
      </c>
      <c r="T65" s="68">
        <f t="shared" si="99"/>
        <v>75.176308196459672</v>
      </c>
      <c r="U65" s="68">
        <f t="shared" si="100"/>
        <v>193.19701533813577</v>
      </c>
      <c r="W65" t="str">
        <f t="shared" si="133"/>
        <v>71 Sales occupations</v>
      </c>
      <c r="X65" s="17">
        <f t="shared" ref="X65:AB70" si="151">X28/X$35*100</f>
        <v>4.2518688455136404</v>
      </c>
      <c r="Y65" s="17">
        <f t="shared" si="151"/>
        <v>4.0388240142772442</v>
      </c>
      <c r="Z65" s="17">
        <f t="shared" si="151"/>
        <v>4.0638319600607344</v>
      </c>
      <c r="AA65" s="17">
        <f t="shared" si="151"/>
        <v>4.1189343326452539</v>
      </c>
      <c r="AB65" s="17">
        <f t="shared" si="151"/>
        <v>4.631575026899232</v>
      </c>
      <c r="AD65" s="67">
        <f t="shared" si="102"/>
        <v>35.514317678739403</v>
      </c>
      <c r="AE65" s="68">
        <f t="shared" si="103"/>
        <v>63.752506022355746</v>
      </c>
      <c r="AF65" s="68">
        <f t="shared" si="104"/>
        <v>99.266823701095177</v>
      </c>
      <c r="AH65" t="str">
        <f t="shared" si="134"/>
        <v>71 Sales occupations</v>
      </c>
      <c r="AI65" s="17">
        <f t="shared" ref="AI65:AM70" si="152">AI28/AI$35*100</f>
        <v>4.8295729533006888</v>
      </c>
      <c r="AJ65" s="17">
        <f t="shared" si="152"/>
        <v>4.8007707794117573</v>
      </c>
      <c r="AK65" s="17">
        <f t="shared" si="152"/>
        <v>4.930373087185294</v>
      </c>
      <c r="AL65" s="17">
        <f t="shared" si="152"/>
        <v>5.0341911917063209</v>
      </c>
      <c r="AM65" s="17">
        <f t="shared" si="152"/>
        <v>5.6155886513693147</v>
      </c>
      <c r="AO65" s="67">
        <f t="shared" si="106"/>
        <v>24.774682398128817</v>
      </c>
      <c r="AP65" s="68">
        <f t="shared" si="107"/>
        <v>60.868803821203009</v>
      </c>
      <c r="AQ65" s="68">
        <f t="shared" si="108"/>
        <v>85.643486219331848</v>
      </c>
      <c r="AS65" t="str">
        <f t="shared" si="135"/>
        <v>71 Sales occupations</v>
      </c>
      <c r="AT65" s="17">
        <f t="shared" ref="AT65:AX70" si="153">AT28/AT$35*100</f>
        <v>4.419888785323824</v>
      </c>
      <c r="AU65" s="17">
        <f t="shared" si="153"/>
        <v>3.9729386596759646</v>
      </c>
      <c r="AV65" s="17">
        <f t="shared" si="153"/>
        <v>3.929082129371702</v>
      </c>
      <c r="AW65" s="17">
        <f t="shared" si="153"/>
        <v>3.7133420093536658</v>
      </c>
      <c r="AX65" s="17">
        <f t="shared" si="153"/>
        <v>3.8576029712863074</v>
      </c>
      <c r="AZ65" s="67">
        <f t="shared" si="110"/>
        <v>15.90141883876101</v>
      </c>
      <c r="BA65" s="68">
        <f t="shared" si="111"/>
        <v>49.965267932168025</v>
      </c>
      <c r="BB65" s="68">
        <f t="shared" si="112"/>
        <v>65.866686770929036</v>
      </c>
      <c r="BD65" t="str">
        <f t="shared" si="136"/>
        <v>71 Sales occupations</v>
      </c>
      <c r="BE65" s="17">
        <f t="shared" ref="BE65:BI70" si="154">BE28/BE$35*100</f>
        <v>8.7437938583460664</v>
      </c>
      <c r="BF65" s="17">
        <f t="shared" si="154"/>
        <v>8.2444713676819621</v>
      </c>
      <c r="BG65" s="17">
        <f t="shared" si="154"/>
        <v>8.4776316836690011</v>
      </c>
      <c r="BH65" s="17">
        <f t="shared" si="154"/>
        <v>8.1141593152163622</v>
      </c>
      <c r="BI65" s="17">
        <f t="shared" si="154"/>
        <v>8.3007859236487267</v>
      </c>
      <c r="BK65" s="67">
        <f t="shared" si="114"/>
        <v>-2.4533391953508521</v>
      </c>
      <c r="BL65" s="68">
        <f t="shared" si="115"/>
        <v>43.708434247764231</v>
      </c>
      <c r="BM65" s="68">
        <f t="shared" si="116"/>
        <v>41.255095052413381</v>
      </c>
      <c r="BO65" t="str">
        <f t="shared" si="137"/>
        <v>71 Sales occupations</v>
      </c>
      <c r="BP65" s="17">
        <f t="shared" ref="BP65:BT70" si="155">BP28/BP$35*100</f>
        <v>9.1889108146616518</v>
      </c>
      <c r="BQ65" s="17">
        <f t="shared" si="155"/>
        <v>8.2625708112131733</v>
      </c>
      <c r="BR65" s="17">
        <f t="shared" si="155"/>
        <v>8.3940881758467221</v>
      </c>
      <c r="BS65" s="17">
        <f t="shared" si="155"/>
        <v>7.6177200864955772</v>
      </c>
      <c r="BT65" s="17">
        <f t="shared" si="155"/>
        <v>7.1363467944919812</v>
      </c>
      <c r="BV65" s="67">
        <f t="shared" si="118"/>
        <v>-31.85273464018336</v>
      </c>
      <c r="BW65" s="68">
        <f t="shared" si="119"/>
        <v>37.744271824507877</v>
      </c>
      <c r="BX65" s="68">
        <f t="shared" si="120"/>
        <v>5.8915371843245152</v>
      </c>
      <c r="BZ65" t="str">
        <f t="shared" si="138"/>
        <v>71 Sales occupations</v>
      </c>
      <c r="CA65" s="17">
        <f t="shared" ref="CA65:CE70" si="156">CA28/CA$35*100</f>
        <v>9.218054302174238</v>
      </c>
      <c r="CB65" s="17">
        <f t="shared" si="156"/>
        <v>8.8401150173438534</v>
      </c>
      <c r="CC65" s="17">
        <f t="shared" si="156"/>
        <v>8.9223093135063838</v>
      </c>
      <c r="CD65" s="17">
        <f t="shared" si="156"/>
        <v>7.9367250888599878</v>
      </c>
      <c r="CE65" s="17">
        <f t="shared" si="156"/>
        <v>4.702048228874089</v>
      </c>
      <c r="CG65" s="67">
        <f t="shared" si="122"/>
        <v>-68.538056272814018</v>
      </c>
      <c r="CH65" s="68">
        <f t="shared" si="123"/>
        <v>23.348099029902311</v>
      </c>
      <c r="CI65" s="68">
        <f t="shared" si="124"/>
        <v>-45.18995724291171</v>
      </c>
      <c r="CK65" t="str">
        <f t="shared" si="139"/>
        <v>71 Sales occupations</v>
      </c>
      <c r="CL65" s="17">
        <f t="shared" ref="CL65:CP70" si="157">CL28/CL$35*100</f>
        <v>11.063247346113959</v>
      </c>
      <c r="CM65" s="17">
        <f t="shared" si="157"/>
        <v>9.8949411554607103</v>
      </c>
      <c r="CN65" s="17">
        <f t="shared" si="157"/>
        <v>9.8734006021718379</v>
      </c>
      <c r="CO65" s="17">
        <f t="shared" si="157"/>
        <v>8.4579611227979683</v>
      </c>
      <c r="CP65" s="17">
        <f t="shared" si="157"/>
        <v>6.9457265100260068</v>
      </c>
      <c r="CR65" s="67">
        <f t="shared" si="126"/>
        <v>-57.145448981238857</v>
      </c>
      <c r="CS65" s="68">
        <f t="shared" si="127"/>
        <v>17.011248197778976</v>
      </c>
      <c r="CT65" s="68">
        <f t="shared" si="128"/>
        <v>-40.134200783459882</v>
      </c>
    </row>
    <row r="66" spans="1:98" x14ac:dyDescent="0.3">
      <c r="A66" t="str">
        <f t="shared" si="95"/>
        <v>72 Customer service occupations</v>
      </c>
      <c r="B66" s="17">
        <f t="shared" si="149"/>
        <v>0.4101481194568859</v>
      </c>
      <c r="C66" s="17">
        <f t="shared" si="149"/>
        <v>0.39083057469782734</v>
      </c>
      <c r="D66" s="17">
        <f t="shared" si="149"/>
        <v>0.41769877492372359</v>
      </c>
      <c r="E66" s="17">
        <f t="shared" si="149"/>
        <v>0.56980709566546894</v>
      </c>
      <c r="F66" s="17">
        <f t="shared" si="149"/>
        <v>0.68336145130328674</v>
      </c>
      <c r="H66" s="67">
        <f t="shared" si="129"/>
        <v>192.45725874627371</v>
      </c>
      <c r="I66" s="68">
        <f t="shared" si="130"/>
        <v>96.071230117797384</v>
      </c>
      <c r="J66" s="68">
        <f t="shared" si="131"/>
        <v>288.52848886407111</v>
      </c>
      <c r="L66" t="str">
        <f t="shared" si="132"/>
        <v>72 Customer service occupations</v>
      </c>
      <c r="M66" s="17">
        <f t="shared" si="150"/>
        <v>0.65639747529587489</v>
      </c>
      <c r="N66" s="17">
        <f t="shared" si="150"/>
        <v>0.67185864186554056</v>
      </c>
      <c r="O66" s="17">
        <f t="shared" si="150"/>
        <v>0.66954134330550497</v>
      </c>
      <c r="P66" s="17">
        <f t="shared" si="150"/>
        <v>0.88903564656379386</v>
      </c>
      <c r="Q66" s="17">
        <f t="shared" si="150"/>
        <v>1.0275620085479826</v>
      </c>
      <c r="S66" s="67">
        <f t="shared" si="98"/>
        <v>176.73378555735675</v>
      </c>
      <c r="T66" s="68">
        <f t="shared" si="99"/>
        <v>97.748180699812764</v>
      </c>
      <c r="U66" s="68">
        <f t="shared" si="100"/>
        <v>274.48196625716952</v>
      </c>
      <c r="W66" t="str">
        <f t="shared" si="133"/>
        <v>72 Customer service occupations</v>
      </c>
      <c r="X66" s="17">
        <f t="shared" si="151"/>
        <v>1.3089263877948625</v>
      </c>
      <c r="Y66" s="17">
        <f t="shared" si="151"/>
        <v>1.3425567725468424</v>
      </c>
      <c r="Z66" s="17">
        <f t="shared" si="151"/>
        <v>1.3996098679054765</v>
      </c>
      <c r="AA66" s="17">
        <f t="shared" si="151"/>
        <v>1.8157052772966216</v>
      </c>
      <c r="AB66" s="17">
        <f t="shared" si="151"/>
        <v>2.1383535305110541</v>
      </c>
      <c r="AD66" s="67">
        <f t="shared" si="102"/>
        <v>81.662268401397924</v>
      </c>
      <c r="AE66" s="68">
        <f t="shared" si="103"/>
        <v>76.67601537434642</v>
      </c>
      <c r="AF66" s="68">
        <f t="shared" si="104"/>
        <v>158.33828377574434</v>
      </c>
      <c r="AH66" t="str">
        <f t="shared" si="134"/>
        <v>72 Customer service occupations</v>
      </c>
      <c r="AI66" s="17">
        <f t="shared" si="152"/>
        <v>1.3237162208922164</v>
      </c>
      <c r="AJ66" s="17">
        <f t="shared" si="152"/>
        <v>1.555791193968207</v>
      </c>
      <c r="AK66" s="17">
        <f t="shared" si="152"/>
        <v>1.6864309342255179</v>
      </c>
      <c r="AL66" s="17">
        <f t="shared" si="152"/>
        <v>2.3428467734553036</v>
      </c>
      <c r="AM66" s="17">
        <f t="shared" si="152"/>
        <v>2.8159123067942011</v>
      </c>
      <c r="AO66" s="67">
        <f t="shared" si="106"/>
        <v>82.920144375132807</v>
      </c>
      <c r="AP66" s="68">
        <f t="shared" si="107"/>
        <v>81.84189569821676</v>
      </c>
      <c r="AQ66" s="68">
        <f t="shared" si="108"/>
        <v>164.76204007334957</v>
      </c>
      <c r="AS66" t="str">
        <f t="shared" si="135"/>
        <v>72 Customer service occupations</v>
      </c>
      <c r="AT66" s="17">
        <f t="shared" si="153"/>
        <v>2.0293850666230941</v>
      </c>
      <c r="AU66" s="17">
        <f t="shared" si="153"/>
        <v>2.076702884334559</v>
      </c>
      <c r="AV66" s="17">
        <f t="shared" si="153"/>
        <v>2.0727713321592556</v>
      </c>
      <c r="AW66" s="17">
        <f t="shared" si="153"/>
        <v>2.649388217356154</v>
      </c>
      <c r="AX66" s="17">
        <f t="shared" si="153"/>
        <v>2.7883364074992634</v>
      </c>
      <c r="AZ66" s="67">
        <f t="shared" si="110"/>
        <v>58.802051237528183</v>
      </c>
      <c r="BA66" s="68">
        <f t="shared" si="111"/>
        <v>66.524601434488574</v>
      </c>
      <c r="BB66" s="68">
        <f t="shared" si="112"/>
        <v>125.32665267201675</v>
      </c>
      <c r="BD66" t="str">
        <f t="shared" si="136"/>
        <v>72 Customer service occupations</v>
      </c>
      <c r="BE66" s="17">
        <f t="shared" si="154"/>
        <v>1.9770931889566861</v>
      </c>
      <c r="BF66" s="17">
        <f t="shared" si="154"/>
        <v>2.0393969397680491</v>
      </c>
      <c r="BG66" s="17">
        <f t="shared" si="154"/>
        <v>2.1397639748403896</v>
      </c>
      <c r="BH66" s="17">
        <f t="shared" si="154"/>
        <v>2.6562685430785917</v>
      </c>
      <c r="BI66" s="17">
        <f t="shared" si="154"/>
        <v>2.9592405911785269</v>
      </c>
      <c r="BK66" s="67">
        <f t="shared" si="114"/>
        <v>37.778718868916108</v>
      </c>
      <c r="BL66" s="68">
        <f t="shared" si="115"/>
        <v>54.094878316775798</v>
      </c>
      <c r="BM66" s="68">
        <f t="shared" si="116"/>
        <v>91.873597185691906</v>
      </c>
      <c r="BO66" t="str">
        <f t="shared" si="137"/>
        <v>72 Customer service occupations</v>
      </c>
      <c r="BP66" s="17">
        <f t="shared" si="155"/>
        <v>2.1090769075902385</v>
      </c>
      <c r="BQ66" s="17">
        <f t="shared" si="155"/>
        <v>2.2493022592337804</v>
      </c>
      <c r="BR66" s="17">
        <f t="shared" si="155"/>
        <v>2.3191250481322796</v>
      </c>
      <c r="BS66" s="17">
        <f t="shared" si="155"/>
        <v>2.957641327749696</v>
      </c>
      <c r="BT66" s="17">
        <f t="shared" si="155"/>
        <v>3.2921106887139362</v>
      </c>
      <c r="BV66" s="67">
        <f t="shared" si="118"/>
        <v>13.787950588573203</v>
      </c>
      <c r="BW66" s="68">
        <f t="shared" si="119"/>
        <v>54.156120590115876</v>
      </c>
      <c r="BX66" s="68">
        <f t="shared" si="120"/>
        <v>67.944071178689086</v>
      </c>
      <c r="BZ66" t="str">
        <f t="shared" si="138"/>
        <v>72 Customer service occupations</v>
      </c>
      <c r="CA66" s="17">
        <f t="shared" si="156"/>
        <v>1.6194519341348503</v>
      </c>
      <c r="CB66" s="17">
        <f t="shared" si="156"/>
        <v>1.6177598828818875</v>
      </c>
      <c r="CC66" s="17">
        <f t="shared" si="156"/>
        <v>1.7328921036402787</v>
      </c>
      <c r="CD66" s="17">
        <f t="shared" si="156"/>
        <v>2.0869047559672014</v>
      </c>
      <c r="CE66" s="17">
        <f t="shared" si="156"/>
        <v>2.757410695988447</v>
      </c>
      <c r="CG66" s="67">
        <f t="shared" si="122"/>
        <v>-5.0039212710639172</v>
      </c>
      <c r="CH66" s="68">
        <f t="shared" si="123"/>
        <v>33.660359166327289</v>
      </c>
      <c r="CI66" s="68">
        <f t="shared" si="124"/>
        <v>28.656437895263377</v>
      </c>
      <c r="CK66" t="str">
        <f t="shared" si="139"/>
        <v>72 Customer service occupations</v>
      </c>
      <c r="CL66" s="17">
        <f t="shared" si="157"/>
        <v>1.2527066954645238</v>
      </c>
      <c r="CM66" s="17">
        <f t="shared" si="157"/>
        <v>1.5942050725398142</v>
      </c>
      <c r="CN66" s="17">
        <f t="shared" si="157"/>
        <v>1.7946375719776464</v>
      </c>
      <c r="CO66" s="17">
        <f t="shared" si="157"/>
        <v>3.0338642267323497</v>
      </c>
      <c r="CP66" s="17">
        <f t="shared" si="157"/>
        <v>4.658760689076197</v>
      </c>
      <c r="CR66" s="67">
        <f t="shared" si="126"/>
        <v>58.139250236022164</v>
      </c>
      <c r="CS66" s="68">
        <f t="shared" si="127"/>
        <v>46.274358397525837</v>
      </c>
      <c r="CT66" s="68">
        <f t="shared" si="128"/>
        <v>104.41360863354801</v>
      </c>
    </row>
    <row r="67" spans="1:98" x14ac:dyDescent="0.3">
      <c r="A67" t="str">
        <f t="shared" si="95"/>
        <v>81 Process, plant and machine operatives</v>
      </c>
      <c r="B67" s="17">
        <f t="shared" si="149"/>
        <v>0.30762198625749837</v>
      </c>
      <c r="C67" s="17">
        <f t="shared" si="149"/>
        <v>0.31707391876332136</v>
      </c>
      <c r="D67" s="17">
        <f t="shared" si="149"/>
        <v>0.26077533934461611</v>
      </c>
      <c r="E67" s="17">
        <f t="shared" si="149"/>
        <v>0.36521466603865027</v>
      </c>
      <c r="F67" s="17">
        <f t="shared" si="149"/>
        <v>0.5328573263308225</v>
      </c>
      <c r="H67" s="67">
        <f t="shared" si="129"/>
        <v>265.27466587006199</v>
      </c>
      <c r="I67" s="68">
        <f t="shared" si="130"/>
        <v>120.38624323434364</v>
      </c>
      <c r="J67" s="68">
        <f t="shared" si="131"/>
        <v>385.66090910440562</v>
      </c>
      <c r="L67" t="str">
        <f t="shared" si="132"/>
        <v>81 Process, plant and machine operatives</v>
      </c>
      <c r="M67" s="17">
        <f t="shared" si="150"/>
        <v>0.29764683346449899</v>
      </c>
      <c r="N67" s="17">
        <f t="shared" si="150"/>
        <v>0.30061316338698013</v>
      </c>
      <c r="O67" s="17">
        <f t="shared" si="150"/>
        <v>0.25470383397841734</v>
      </c>
      <c r="P67" s="17">
        <f t="shared" si="150"/>
        <v>0.35707099737781745</v>
      </c>
      <c r="Q67" s="17">
        <f t="shared" si="150"/>
        <v>0.47281694738712166</v>
      </c>
      <c r="S67" s="67">
        <f t="shared" si="98"/>
        <v>234.72572954610348</v>
      </c>
      <c r="T67" s="68">
        <f t="shared" si="99"/>
        <v>110.97746469275056</v>
      </c>
      <c r="U67" s="68">
        <f t="shared" si="100"/>
        <v>345.70319423885405</v>
      </c>
      <c r="W67" t="str">
        <f t="shared" si="133"/>
        <v>81 Process, plant and machine operatives</v>
      </c>
      <c r="X67" s="17">
        <f t="shared" si="151"/>
        <v>0.44336721591740313</v>
      </c>
      <c r="Y67" s="17">
        <f t="shared" si="151"/>
        <v>0.41205724992949633</v>
      </c>
      <c r="Z67" s="17">
        <f t="shared" si="151"/>
        <v>0.37065207436846304</v>
      </c>
      <c r="AA67" s="17">
        <f t="shared" si="151"/>
        <v>0.56171823108028562</v>
      </c>
      <c r="AB67" s="17">
        <f t="shared" si="151"/>
        <v>0.84155773487371854</v>
      </c>
      <c r="AD67" s="67">
        <f t="shared" si="102"/>
        <v>169.96639155389693</v>
      </c>
      <c r="AE67" s="68">
        <f t="shared" si="103"/>
        <v>99.371595451492141</v>
      </c>
      <c r="AF67" s="68">
        <f t="shared" si="104"/>
        <v>269.33798700538904</v>
      </c>
      <c r="AH67" t="str">
        <f t="shared" si="134"/>
        <v>81 Process, plant and machine operatives</v>
      </c>
      <c r="AI67" s="17">
        <f t="shared" si="152"/>
        <v>0.67179121877178072</v>
      </c>
      <c r="AJ67" s="17">
        <f t="shared" si="152"/>
        <v>0.69286724680392053</v>
      </c>
      <c r="AK67" s="17">
        <f t="shared" si="152"/>
        <v>0.64878954888900142</v>
      </c>
      <c r="AL67" s="17">
        <f t="shared" si="152"/>
        <v>0.99586653164814731</v>
      </c>
      <c r="AM67" s="17">
        <f t="shared" si="152"/>
        <v>1.3706181832851945</v>
      </c>
      <c r="AO67" s="67">
        <f t="shared" si="106"/>
        <v>131.43210909854585</v>
      </c>
      <c r="AP67" s="68">
        <f t="shared" si="107"/>
        <v>84.035940810277296</v>
      </c>
      <c r="AQ67" s="68">
        <f t="shared" si="108"/>
        <v>215.46804990882316</v>
      </c>
      <c r="AS67" t="str">
        <f t="shared" si="135"/>
        <v>81 Process, plant and machine operatives</v>
      </c>
      <c r="AT67" s="17">
        <f t="shared" si="153"/>
        <v>1.594155476776373</v>
      </c>
      <c r="AU67" s="17">
        <f t="shared" si="153"/>
        <v>1.5091710075620874</v>
      </c>
      <c r="AV67" s="17">
        <f t="shared" si="153"/>
        <v>1.3759870170923953</v>
      </c>
      <c r="AW67" s="17">
        <f t="shared" si="153"/>
        <v>1.9416008654169477</v>
      </c>
      <c r="AX67" s="17">
        <f t="shared" si="153"/>
        <v>2.3624862525780461</v>
      </c>
      <c r="AZ67" s="67">
        <f t="shared" si="110"/>
        <v>102.68298220972774</v>
      </c>
      <c r="BA67" s="68">
        <f t="shared" si="111"/>
        <v>78.012861255456173</v>
      </c>
      <c r="BB67" s="68">
        <f t="shared" si="112"/>
        <v>180.69584346518388</v>
      </c>
      <c r="BD67" t="str">
        <f t="shared" si="136"/>
        <v>81 Process, plant and machine operatives</v>
      </c>
      <c r="BE67" s="17">
        <f t="shared" si="154"/>
        <v>2.8344350902214415</v>
      </c>
      <c r="BF67" s="17">
        <f t="shared" si="154"/>
        <v>2.8262031478819036</v>
      </c>
      <c r="BG67" s="17">
        <f t="shared" si="154"/>
        <v>2.573270578747441</v>
      </c>
      <c r="BH67" s="17">
        <f t="shared" si="154"/>
        <v>3.4016014692880474</v>
      </c>
      <c r="BI67" s="17">
        <f t="shared" si="154"/>
        <v>3.8976467547099625</v>
      </c>
      <c r="BK67" s="67">
        <f t="shared" si="114"/>
        <v>50.898443416826169</v>
      </c>
      <c r="BL67" s="68">
        <f t="shared" si="115"/>
        <v>49.472860580568252</v>
      </c>
      <c r="BM67" s="68">
        <f t="shared" si="116"/>
        <v>100.37130399739441</v>
      </c>
      <c r="BO67" t="str">
        <f t="shared" si="137"/>
        <v>81 Process, plant and machine operatives</v>
      </c>
      <c r="BP67" s="17">
        <f t="shared" si="155"/>
        <v>3.6817554712888931</v>
      </c>
      <c r="BQ67" s="17">
        <f t="shared" si="155"/>
        <v>3.6702142101422219</v>
      </c>
      <c r="BR67" s="17">
        <f t="shared" si="155"/>
        <v>3.4723439132457226</v>
      </c>
      <c r="BS67" s="17">
        <f t="shared" si="155"/>
        <v>4.5495079131538061</v>
      </c>
      <c r="BT67" s="17">
        <f t="shared" si="155"/>
        <v>5.3041367041771394</v>
      </c>
      <c r="BV67" s="67">
        <f t="shared" si="118"/>
        <v>22.444135490198576</v>
      </c>
      <c r="BW67" s="68">
        <f t="shared" si="119"/>
        <v>48.60570618654701</v>
      </c>
      <c r="BX67" s="68">
        <f t="shared" si="120"/>
        <v>71.049841676745586</v>
      </c>
      <c r="BZ67" t="str">
        <f t="shared" si="138"/>
        <v>81 Process, plant and machine operatives</v>
      </c>
      <c r="CA67" s="17">
        <f t="shared" si="156"/>
        <v>4.6311226151832514</v>
      </c>
      <c r="CB67" s="17">
        <f t="shared" si="156"/>
        <v>4.4905108647153211</v>
      </c>
      <c r="CC67" s="17">
        <f t="shared" si="156"/>
        <v>4.1849069787351025</v>
      </c>
      <c r="CD67" s="17">
        <f t="shared" si="156"/>
        <v>5.047141954038219</v>
      </c>
      <c r="CE67" s="17">
        <f t="shared" si="156"/>
        <v>3.5262064996612046</v>
      </c>
      <c r="CG67" s="67">
        <f t="shared" si="122"/>
        <v>-49.696560821758766</v>
      </c>
      <c r="CH67" s="68">
        <f t="shared" si="123"/>
        <v>30.962848575455538</v>
      </c>
      <c r="CI67" s="68">
        <f t="shared" si="124"/>
        <v>-18.733712246303227</v>
      </c>
      <c r="CK67" t="str">
        <f t="shared" si="139"/>
        <v>81 Process, plant and machine operatives</v>
      </c>
      <c r="CL67" s="17">
        <f t="shared" si="157"/>
        <v>6.2073097147280869</v>
      </c>
      <c r="CM67" s="17">
        <f t="shared" si="157"/>
        <v>5.3605536304632357</v>
      </c>
      <c r="CN67" s="17">
        <f t="shared" si="157"/>
        <v>5.1498258507792292</v>
      </c>
      <c r="CO67" s="17">
        <f t="shared" si="157"/>
        <v>3.6392198685713408</v>
      </c>
      <c r="CP67" s="17">
        <f t="shared" si="157"/>
        <v>2.270585269858409</v>
      </c>
      <c r="CR67" s="67">
        <f t="shared" si="126"/>
        <v>-73.140909527534888</v>
      </c>
      <c r="CS67" s="68">
        <f t="shared" si="127"/>
        <v>13.31841161582989</v>
      </c>
      <c r="CT67" s="68">
        <f t="shared" si="128"/>
        <v>-59.822497911705</v>
      </c>
    </row>
    <row r="68" spans="1:98" x14ac:dyDescent="0.3">
      <c r="A68" t="str">
        <f t="shared" si="95"/>
        <v>82 Transport and mobile machine drivers and operatives</v>
      </c>
      <c r="B68" s="17">
        <f t="shared" si="149"/>
        <v>0.57536297023334815</v>
      </c>
      <c r="C68" s="17">
        <f t="shared" si="149"/>
        <v>0.67876527126947095</v>
      </c>
      <c r="D68" s="17">
        <f t="shared" si="149"/>
        <v>0.61450715016825364</v>
      </c>
      <c r="E68" s="17">
        <f t="shared" si="149"/>
        <v>0.83403698015491123</v>
      </c>
      <c r="F68" s="17">
        <f t="shared" si="149"/>
        <v>1.0664608050534985</v>
      </c>
      <c r="H68" s="67">
        <f t="shared" si="129"/>
        <v>210.23664006381389</v>
      </c>
      <c r="I68" s="68">
        <f t="shared" si="130"/>
        <v>137.84476849743257</v>
      </c>
      <c r="J68" s="68">
        <f t="shared" si="131"/>
        <v>348.08140856124646</v>
      </c>
      <c r="L68" t="str">
        <f t="shared" si="132"/>
        <v>82 Transport and mobile machine drivers and operatives</v>
      </c>
      <c r="M68" s="17">
        <f t="shared" si="150"/>
        <v>0.55956777794715429</v>
      </c>
      <c r="N68" s="17">
        <f t="shared" si="150"/>
        <v>0.62346138483602609</v>
      </c>
      <c r="O68" s="17">
        <f t="shared" si="150"/>
        <v>0.58042239028895903</v>
      </c>
      <c r="P68" s="17">
        <f t="shared" si="150"/>
        <v>0.70219963689233478</v>
      </c>
      <c r="Q68" s="17">
        <f t="shared" si="150"/>
        <v>0.86645469096695038</v>
      </c>
      <c r="S68" s="67">
        <f t="shared" si="98"/>
        <v>169.17408429618845</v>
      </c>
      <c r="T68" s="68">
        <f t="shared" si="99"/>
        <v>119.61599935649988</v>
      </c>
      <c r="U68" s="68">
        <f t="shared" si="100"/>
        <v>288.79008365268834</v>
      </c>
      <c r="W68" t="str">
        <f t="shared" si="133"/>
        <v>82 Transport and mobile machine drivers and operatives</v>
      </c>
      <c r="X68" s="17">
        <f t="shared" si="151"/>
        <v>0.83675535200513596</v>
      </c>
      <c r="Y68" s="17">
        <f t="shared" si="151"/>
        <v>0.97303610309447797</v>
      </c>
      <c r="Z68" s="17">
        <f t="shared" si="151"/>
        <v>0.92987808975875608</v>
      </c>
      <c r="AA68" s="17">
        <f t="shared" si="151"/>
        <v>1.0932157661594255</v>
      </c>
      <c r="AB68" s="17">
        <f t="shared" si="151"/>
        <v>1.3128688869492318</v>
      </c>
      <c r="AD68" s="67">
        <f t="shared" si="102"/>
        <v>67.875593944582207</v>
      </c>
      <c r="AE68" s="68">
        <f t="shared" si="103"/>
        <v>92.951624503850084</v>
      </c>
      <c r="AF68" s="68">
        <f t="shared" si="104"/>
        <v>160.82721844843232</v>
      </c>
      <c r="AH68" t="str">
        <f t="shared" si="134"/>
        <v>82 Transport and mobile machine drivers and operatives</v>
      </c>
      <c r="AI68" s="17">
        <f t="shared" si="152"/>
        <v>1.3325897396523172</v>
      </c>
      <c r="AJ68" s="17">
        <f t="shared" si="152"/>
        <v>1.7108079550857413</v>
      </c>
      <c r="AK68" s="17">
        <f t="shared" si="152"/>
        <v>1.6562883763906096</v>
      </c>
      <c r="AL68" s="17">
        <f t="shared" si="152"/>
        <v>2.0872534707115018</v>
      </c>
      <c r="AM68" s="17">
        <f t="shared" si="152"/>
        <v>2.4357005612481348</v>
      </c>
      <c r="AO68" s="67">
        <f t="shared" si="106"/>
        <v>61.101250546998543</v>
      </c>
      <c r="AP68" s="68">
        <f t="shared" si="107"/>
        <v>90.026975519976844</v>
      </c>
      <c r="AQ68" s="68">
        <f t="shared" si="108"/>
        <v>151.12822606697537</v>
      </c>
      <c r="AS68" t="str">
        <f t="shared" si="135"/>
        <v>82 Transport and mobile machine drivers and operatives</v>
      </c>
      <c r="AT68" s="17">
        <f t="shared" si="153"/>
        <v>2.4006133164787786</v>
      </c>
      <c r="AU68" s="17">
        <f t="shared" si="153"/>
        <v>2.6893424794178866</v>
      </c>
      <c r="AV68" s="17">
        <f t="shared" si="153"/>
        <v>2.5930108545339974</v>
      </c>
      <c r="AW68" s="17">
        <f t="shared" si="153"/>
        <v>3.047887933900018</v>
      </c>
      <c r="AX68" s="17">
        <f t="shared" si="153"/>
        <v>3.3482921255752909</v>
      </c>
      <c r="AZ68" s="67">
        <f t="shared" si="110"/>
        <v>52.433821911007939</v>
      </c>
      <c r="BA68" s="68">
        <f t="shared" si="111"/>
        <v>88.489221001066426</v>
      </c>
      <c r="BB68" s="68">
        <f t="shared" si="112"/>
        <v>140.92304291207435</v>
      </c>
      <c r="BD68" t="str">
        <f t="shared" si="136"/>
        <v>82 Transport and mobile machine drivers and operatives</v>
      </c>
      <c r="BE68" s="17">
        <f t="shared" si="154"/>
        <v>3.5290801833656378</v>
      </c>
      <c r="BF68" s="17">
        <f t="shared" si="154"/>
        <v>3.8521372993918161</v>
      </c>
      <c r="BG68" s="17">
        <f t="shared" si="154"/>
        <v>3.6670444421863091</v>
      </c>
      <c r="BH68" s="17">
        <f t="shared" si="154"/>
        <v>4.1139094276612953</v>
      </c>
      <c r="BI68" s="17">
        <f t="shared" si="154"/>
        <v>4.5322162961334644</v>
      </c>
      <c r="BK68" s="67">
        <f t="shared" si="114"/>
        <v>23.129521801728259</v>
      </c>
      <c r="BL68" s="68">
        <f t="shared" si="115"/>
        <v>57.585240063644008</v>
      </c>
      <c r="BM68" s="68">
        <f t="shared" si="116"/>
        <v>80.714761865372253</v>
      </c>
      <c r="BO68" t="str">
        <f t="shared" si="137"/>
        <v>82 Transport and mobile machine drivers and operatives</v>
      </c>
      <c r="BP68" s="17">
        <f t="shared" si="155"/>
        <v>5.4012840266857047</v>
      </c>
      <c r="BQ68" s="17">
        <f t="shared" si="155"/>
        <v>6.1499172301371869</v>
      </c>
      <c r="BR68" s="17">
        <f t="shared" si="155"/>
        <v>5.7764783395438881</v>
      </c>
      <c r="BS68" s="17">
        <f t="shared" si="155"/>
        <v>6.6682720679011727</v>
      </c>
      <c r="BT68" s="17">
        <f t="shared" si="155"/>
        <v>7.9438352689590195</v>
      </c>
      <c r="BV68" s="67">
        <f t="shared" si="118"/>
        <v>10.233372306647411</v>
      </c>
      <c r="BW68" s="68">
        <f t="shared" si="119"/>
        <v>58.818183213491693</v>
      </c>
      <c r="BX68" s="68">
        <f t="shared" si="120"/>
        <v>69.05155552013909</v>
      </c>
      <c r="BZ68" t="str">
        <f t="shared" si="138"/>
        <v>82 Transport and mobile machine drivers and operatives</v>
      </c>
      <c r="CA68" s="17">
        <f t="shared" si="156"/>
        <v>7.5155224272801107</v>
      </c>
      <c r="CB68" s="17">
        <f t="shared" si="156"/>
        <v>7.9833344791248955</v>
      </c>
      <c r="CC68" s="17">
        <f t="shared" si="156"/>
        <v>7.5276526076154298</v>
      </c>
      <c r="CD68" s="17">
        <f t="shared" si="156"/>
        <v>8.1423381483670259</v>
      </c>
      <c r="CE68" s="17">
        <f t="shared" si="156"/>
        <v>9.4884034259296737</v>
      </c>
      <c r="CG68" s="67">
        <f t="shared" si="122"/>
        <v>-24.749512365072185</v>
      </c>
      <c r="CH68" s="68">
        <f t="shared" si="123"/>
        <v>40.802847252005279</v>
      </c>
      <c r="CI68" s="68">
        <f t="shared" si="124"/>
        <v>16.053334886933087</v>
      </c>
      <c r="CK68" t="str">
        <f t="shared" si="139"/>
        <v>82 Transport and mobile machine drivers and operatives</v>
      </c>
      <c r="CL68" s="17">
        <f t="shared" si="157"/>
        <v>8.6951332661648983</v>
      </c>
      <c r="CM68" s="17">
        <f t="shared" si="157"/>
        <v>10.477322515850377</v>
      </c>
      <c r="CN68" s="17">
        <f t="shared" si="157"/>
        <v>10.241083985114036</v>
      </c>
      <c r="CO68" s="17">
        <f t="shared" si="157"/>
        <v>10.65481987712066</v>
      </c>
      <c r="CP68" s="17">
        <f t="shared" si="157"/>
        <v>8.0090554980619508</v>
      </c>
      <c r="CR68" s="67">
        <f t="shared" si="126"/>
        <v>-52.358941264125988</v>
      </c>
      <c r="CS68" s="68">
        <f t="shared" si="127"/>
        <v>28.974337285859765</v>
      </c>
      <c r="CT68" s="68">
        <f t="shared" si="128"/>
        <v>-23.384603978266224</v>
      </c>
    </row>
    <row r="69" spans="1:98" x14ac:dyDescent="0.3">
      <c r="A69" t="str">
        <f t="shared" si="95"/>
        <v>91 Elementary trades and related occupations</v>
      </c>
      <c r="B69" s="17">
        <f t="shared" si="149"/>
        <v>5.7291847742248804E-3</v>
      </c>
      <c r="C69" s="17">
        <f t="shared" si="149"/>
        <v>4.3073242172686644E-3</v>
      </c>
      <c r="D69" s="17">
        <f t="shared" si="149"/>
        <v>3.9342241304377544E-3</v>
      </c>
      <c r="E69" s="17">
        <f t="shared" si="149"/>
        <v>3.5267040065090844E-3</v>
      </c>
      <c r="F69" s="17">
        <f t="shared" si="149"/>
        <v>4.1342163436923806E-3</v>
      </c>
      <c r="H69" s="67">
        <f t="shared" si="129"/>
        <v>87.849148931802702</v>
      </c>
      <c r="I69" s="68">
        <f t="shared" si="130"/>
        <v>77.807469975129621</v>
      </c>
      <c r="J69" s="68">
        <f t="shared" si="131"/>
        <v>165.65661890693229</v>
      </c>
      <c r="L69" t="str">
        <f t="shared" si="132"/>
        <v>91 Elementary trades and related occupations</v>
      </c>
      <c r="M69" s="17">
        <f t="shared" si="150"/>
        <v>0.1805932667877409</v>
      </c>
      <c r="N69" s="17">
        <f t="shared" si="150"/>
        <v>0.16702890493737643</v>
      </c>
      <c r="O69" s="17">
        <f t="shared" si="150"/>
        <v>0.13265853369892214</v>
      </c>
      <c r="P69" s="17">
        <f t="shared" si="150"/>
        <v>0.13332918596140375</v>
      </c>
      <c r="Q69" s="17">
        <f t="shared" si="150"/>
        <v>0.15872508606639923</v>
      </c>
      <c r="S69" s="67">
        <f t="shared" si="98"/>
        <v>115.74558789340365</v>
      </c>
      <c r="T69" s="68">
        <f t="shared" si="99"/>
        <v>77.377179828342264</v>
      </c>
      <c r="U69" s="68">
        <f t="shared" si="100"/>
        <v>193.12276772174593</v>
      </c>
      <c r="W69" t="str">
        <f t="shared" si="133"/>
        <v>91 Elementary trades and related occupations</v>
      </c>
      <c r="X69" s="17">
        <f t="shared" si="151"/>
        <v>0.33272867650782101</v>
      </c>
      <c r="Y69" s="17">
        <f t="shared" si="151"/>
        <v>0.30405867449266721</v>
      </c>
      <c r="Z69" s="17">
        <f t="shared" si="151"/>
        <v>0.26614671982584037</v>
      </c>
      <c r="AA69" s="17">
        <f t="shared" si="151"/>
        <v>0.24358575465412091</v>
      </c>
      <c r="AB69" s="17">
        <f t="shared" si="151"/>
        <v>0.25326172381474571</v>
      </c>
      <c r="AD69" s="67">
        <f t="shared" si="102"/>
        <v>13.146379352850223</v>
      </c>
      <c r="AE69" s="68">
        <f t="shared" si="103"/>
        <v>60.945130872530285</v>
      </c>
      <c r="AF69" s="68">
        <f t="shared" si="104"/>
        <v>74.091510225380517</v>
      </c>
      <c r="AH69" t="str">
        <f t="shared" si="134"/>
        <v>91 Elementary trades and related occupations</v>
      </c>
      <c r="AI69" s="17">
        <f t="shared" si="152"/>
        <v>0.76488610907114685</v>
      </c>
      <c r="AJ69" s="17">
        <f t="shared" si="152"/>
        <v>0.77560909557335467</v>
      </c>
      <c r="AK69" s="17">
        <f t="shared" si="152"/>
        <v>0.6695858878858838</v>
      </c>
      <c r="AL69" s="17">
        <f t="shared" si="152"/>
        <v>0.67283062744318023</v>
      </c>
      <c r="AM69" s="17">
        <f t="shared" si="152"/>
        <v>0.78721512509776981</v>
      </c>
      <c r="AO69" s="67">
        <f t="shared" si="106"/>
        <v>28.794734251137072</v>
      </c>
      <c r="AP69" s="68">
        <f t="shared" si="107"/>
        <v>63.954834783370941</v>
      </c>
      <c r="AQ69" s="68">
        <f t="shared" si="108"/>
        <v>92.749569034507999</v>
      </c>
      <c r="AS69" t="str">
        <f t="shared" si="135"/>
        <v>91 Elementary trades and related occupations</v>
      </c>
      <c r="AT69" s="17">
        <f t="shared" si="153"/>
        <v>0.91368077713680551</v>
      </c>
      <c r="AU69" s="17">
        <f t="shared" si="153"/>
        <v>0.8365351329351024</v>
      </c>
      <c r="AV69" s="17">
        <f t="shared" si="153"/>
        <v>0.81327607765245091</v>
      </c>
      <c r="AW69" s="17">
        <f t="shared" si="153"/>
        <v>0.75538526923583538</v>
      </c>
      <c r="AX69" s="17">
        <f t="shared" si="153"/>
        <v>0.77454301864097919</v>
      </c>
      <c r="AZ69" s="67">
        <f t="shared" si="110"/>
        <v>12.426807341489216</v>
      </c>
      <c r="BA69" s="68">
        <f t="shared" si="111"/>
        <v>53.144421727254084</v>
      </c>
      <c r="BB69" s="68">
        <f t="shared" si="112"/>
        <v>65.571229068743307</v>
      </c>
      <c r="BD69" t="str">
        <f t="shared" si="136"/>
        <v>91 Elementary trades and related occupations</v>
      </c>
      <c r="BE69" s="17">
        <f t="shared" si="154"/>
        <v>1.2808364650441832</v>
      </c>
      <c r="BF69" s="17">
        <f t="shared" si="154"/>
        <v>1.120670746821776</v>
      </c>
      <c r="BG69" s="17">
        <f t="shared" si="154"/>
        <v>1.0450784589785933</v>
      </c>
      <c r="BH69" s="17">
        <f t="shared" si="154"/>
        <v>0.98315396162745838</v>
      </c>
      <c r="BI69" s="17">
        <f t="shared" si="154"/>
        <v>1.1307902107900061</v>
      </c>
      <c r="BK69" s="67">
        <f t="shared" si="114"/>
        <v>7.7955622510417131</v>
      </c>
      <c r="BL69" s="68">
        <f t="shared" si="115"/>
        <v>35.403670746225977</v>
      </c>
      <c r="BM69" s="68">
        <f t="shared" si="116"/>
        <v>43.199232997267693</v>
      </c>
      <c r="BO69" t="str">
        <f t="shared" si="137"/>
        <v>91 Elementary trades and related occupations</v>
      </c>
      <c r="BP69" s="17">
        <f t="shared" si="155"/>
        <v>2.1407971566340489</v>
      </c>
      <c r="BQ69" s="17">
        <f t="shared" si="155"/>
        <v>1.8914442122858008</v>
      </c>
      <c r="BR69" s="17">
        <f t="shared" si="155"/>
        <v>1.8330276894909883</v>
      </c>
      <c r="BS69" s="17">
        <f t="shared" si="155"/>
        <v>1.5997354534340813</v>
      </c>
      <c r="BT69" s="17">
        <f t="shared" si="155"/>
        <v>1.8062929961738829</v>
      </c>
      <c r="BV69" s="67">
        <f t="shared" si="118"/>
        <v>-21.011260058941012</v>
      </c>
      <c r="BW69" s="68">
        <f t="shared" si="119"/>
        <v>31.315683848242866</v>
      </c>
      <c r="BX69" s="68">
        <f t="shared" si="120"/>
        <v>10.304423789301852</v>
      </c>
      <c r="BZ69" t="str">
        <f t="shared" si="138"/>
        <v>91 Elementary trades and related occupations</v>
      </c>
      <c r="CA69" s="17">
        <f t="shared" si="156"/>
        <v>3.9242585766694336</v>
      </c>
      <c r="CB69" s="17">
        <f t="shared" si="156"/>
        <v>3.6318445386985387</v>
      </c>
      <c r="CC69" s="17">
        <f t="shared" si="156"/>
        <v>3.4405173592672478</v>
      </c>
      <c r="CD69" s="17">
        <f t="shared" si="156"/>
        <v>3.0030313085599616</v>
      </c>
      <c r="CE69" s="17">
        <f t="shared" si="156"/>
        <v>3.5185901263281929</v>
      </c>
      <c r="CG69" s="67">
        <f t="shared" si="122"/>
        <v>-38.945079251913661</v>
      </c>
      <c r="CH69" s="68">
        <f t="shared" si="123"/>
        <v>28.0226214655431</v>
      </c>
      <c r="CI69" s="68">
        <f t="shared" si="124"/>
        <v>-10.922457786370563</v>
      </c>
      <c r="CK69" t="str">
        <f t="shared" si="139"/>
        <v>91 Elementary trades and related occupations</v>
      </c>
      <c r="CL69" s="17">
        <f t="shared" si="157"/>
        <v>5.2257635411442154</v>
      </c>
      <c r="CM69" s="17">
        <f t="shared" si="157"/>
        <v>4.9106245276674887</v>
      </c>
      <c r="CN69" s="17">
        <f t="shared" si="157"/>
        <v>4.9991903310651944</v>
      </c>
      <c r="CO69" s="17">
        <f t="shared" si="157"/>
        <v>4.4091254361491261</v>
      </c>
      <c r="CP69" s="17">
        <f t="shared" si="157"/>
        <v>4.2543997598051888</v>
      </c>
      <c r="CR69" s="67">
        <f t="shared" si="126"/>
        <v>-48.157653225990515</v>
      </c>
      <c r="CS69" s="68">
        <f t="shared" si="127"/>
        <v>20.713968377969437</v>
      </c>
      <c r="CT69" s="68">
        <f t="shared" si="128"/>
        <v>-27.443684848021078</v>
      </c>
    </row>
    <row r="70" spans="1:98" x14ac:dyDescent="0.3">
      <c r="A70" t="str">
        <f t="shared" si="95"/>
        <v>92 Elementary administration and service occupations</v>
      </c>
      <c r="B70" s="17">
        <f t="shared" si="149"/>
        <v>0.46568070033022185</v>
      </c>
      <c r="C70" s="17">
        <f t="shared" si="149"/>
        <v>0.46159478982071628</v>
      </c>
      <c r="D70" s="17">
        <f t="shared" si="149"/>
        <v>0.4430102414578318</v>
      </c>
      <c r="E70" s="17">
        <f t="shared" si="149"/>
        <v>0.5102134862880916</v>
      </c>
      <c r="F70" s="17">
        <f t="shared" si="149"/>
        <v>0.56595133929173369</v>
      </c>
      <c r="H70" s="67">
        <f t="shared" si="129"/>
        <v>128.37073819840435</v>
      </c>
      <c r="I70" s="68">
        <f t="shared" si="130"/>
        <v>95.809234600122892</v>
      </c>
      <c r="J70" s="68">
        <f t="shared" si="131"/>
        <v>224.17997279852725</v>
      </c>
      <c r="L70" t="str">
        <f t="shared" ref="L70" si="158">A70</f>
        <v>92 Elementary administration and service occupations</v>
      </c>
      <c r="M70" s="17">
        <f t="shared" si="150"/>
        <v>1.9324240253259979</v>
      </c>
      <c r="N70" s="17">
        <f t="shared" si="150"/>
        <v>2.0551327242658854</v>
      </c>
      <c r="O70" s="17">
        <f t="shared" si="150"/>
        <v>2.0363324781590477</v>
      </c>
      <c r="P70" s="17">
        <f t="shared" si="150"/>
        <v>2.4491191565498371</v>
      </c>
      <c r="Q70" s="17">
        <f t="shared" si="150"/>
        <v>3.2112427428590244</v>
      </c>
      <c r="S70" s="67">
        <f t="shared" si="98"/>
        <v>184.35180678478767</v>
      </c>
      <c r="T70" s="68">
        <f t="shared" si="99"/>
        <v>110.98454125560788</v>
      </c>
      <c r="U70" s="68">
        <f t="shared" si="100"/>
        <v>295.33634804039559</v>
      </c>
      <c r="W70" t="str">
        <f t="shared" ref="W70" si="159">A70</f>
        <v>92 Elementary administration and service occupations</v>
      </c>
      <c r="X70" s="17">
        <f t="shared" si="151"/>
        <v>3.4019224564917945</v>
      </c>
      <c r="Y70" s="17">
        <f t="shared" si="151"/>
        <v>3.6903306876040709</v>
      </c>
      <c r="Z70" s="17">
        <f t="shared" si="151"/>
        <v>3.6520885492713857</v>
      </c>
      <c r="AA70" s="17">
        <f t="shared" si="151"/>
        <v>4.1483450204887671</v>
      </c>
      <c r="AB70" s="17">
        <f t="shared" si="151"/>
        <v>4.8552771010742193</v>
      </c>
      <c r="AD70" s="67">
        <f t="shared" si="102"/>
        <v>58.075637797876091</v>
      </c>
      <c r="AE70" s="68">
        <f t="shared" si="103"/>
        <v>84.782153737205306</v>
      </c>
      <c r="AF70" s="68">
        <f t="shared" si="104"/>
        <v>142.85779153508139</v>
      </c>
      <c r="AH70" t="str">
        <f t="shared" ref="AH70" si="160">L70</f>
        <v>92 Elementary administration and service occupations</v>
      </c>
      <c r="AI70" s="17">
        <f t="shared" si="152"/>
        <v>5.4841591695117033</v>
      </c>
      <c r="AJ70" s="17">
        <f t="shared" si="152"/>
        <v>6.5521474871162351</v>
      </c>
      <c r="AK70" s="17">
        <f t="shared" si="152"/>
        <v>6.5854728199670562</v>
      </c>
      <c r="AL70" s="17">
        <f t="shared" si="152"/>
        <v>7.8270235691045142</v>
      </c>
      <c r="AM70" s="17">
        <f t="shared" si="152"/>
        <v>9.5222030171538776</v>
      </c>
      <c r="AO70" s="67">
        <f t="shared" si="106"/>
        <v>58.402285836425641</v>
      </c>
      <c r="AP70" s="68">
        <f t="shared" si="107"/>
        <v>80.435961252460586</v>
      </c>
      <c r="AQ70" s="68">
        <f t="shared" si="108"/>
        <v>138.83824708888622</v>
      </c>
      <c r="AS70" t="str">
        <f t="shared" ref="AS70" si="161">W70</f>
        <v>92 Elementary administration and service occupations</v>
      </c>
      <c r="AT70" s="17">
        <f t="shared" si="153"/>
        <v>5.3350085607106914</v>
      </c>
      <c r="AU70" s="17">
        <f t="shared" si="153"/>
        <v>5.5952129939502493</v>
      </c>
      <c r="AV70" s="17">
        <f t="shared" si="153"/>
        <v>5.7838192162901292</v>
      </c>
      <c r="AW70" s="17">
        <f t="shared" si="153"/>
        <v>6.455812802700561</v>
      </c>
      <c r="AX70" s="17">
        <f t="shared" si="153"/>
        <v>7.5459241421326233</v>
      </c>
      <c r="AZ70" s="67">
        <f t="shared" si="110"/>
        <v>54.013949190083267</v>
      </c>
      <c r="BA70" s="68">
        <f t="shared" si="111"/>
        <v>77.787038466240972</v>
      </c>
      <c r="BB70" s="68">
        <f t="shared" si="112"/>
        <v>131.80098765632425</v>
      </c>
      <c r="BD70" t="str">
        <f t="shared" ref="BD70" si="162">AH70</f>
        <v>92 Elementary administration and service occupations</v>
      </c>
      <c r="BE70" s="17">
        <f t="shared" si="154"/>
        <v>8.8278119457970963</v>
      </c>
      <c r="BF70" s="17">
        <f t="shared" si="154"/>
        <v>8.3348378579263027</v>
      </c>
      <c r="BG70" s="17">
        <f t="shared" si="154"/>
        <v>8.0015197412476233</v>
      </c>
      <c r="BH70" s="17">
        <f t="shared" si="154"/>
        <v>7.9864893175125076</v>
      </c>
      <c r="BI70" s="17">
        <f t="shared" si="154"/>
        <v>7.8821736329180743</v>
      </c>
      <c r="BK70" s="67">
        <f t="shared" si="114"/>
        <v>-1.8610844613964295</v>
      </c>
      <c r="BL70" s="68">
        <f t="shared" si="115"/>
        <v>48.750500397483194</v>
      </c>
      <c r="BM70" s="68">
        <f t="shared" si="116"/>
        <v>46.889415936086756</v>
      </c>
      <c r="BO70" t="str">
        <f t="shared" ref="BO70" si="163">AS70</f>
        <v>92 Elementary administration and service occupations</v>
      </c>
      <c r="BP70" s="17">
        <f t="shared" si="155"/>
        <v>13.886764721731989</v>
      </c>
      <c r="BQ70" s="17">
        <f t="shared" si="155"/>
        <v>14.341087623642498</v>
      </c>
      <c r="BR70" s="17">
        <f t="shared" si="155"/>
        <v>13.730873481999877</v>
      </c>
      <c r="BS70" s="17">
        <f t="shared" si="155"/>
        <v>14.780439399782722</v>
      </c>
      <c r="BT70" s="17">
        <f t="shared" si="155"/>
        <v>15.648455564368819</v>
      </c>
      <c r="BV70" s="67">
        <f t="shared" si="118"/>
        <v>-8.64773311124444</v>
      </c>
      <c r="BW70" s="68">
        <f t="shared" si="119"/>
        <v>46.864038389818994</v>
      </c>
      <c r="BX70" s="68">
        <f t="shared" si="120"/>
        <v>38.216305278574559</v>
      </c>
      <c r="BZ70" t="str">
        <f t="shared" ref="BZ70" si="164">BD70</f>
        <v>92 Elementary administration and service occupations</v>
      </c>
      <c r="CA70" s="17">
        <f t="shared" si="156"/>
        <v>18.828393781576889</v>
      </c>
      <c r="CB70" s="17">
        <f t="shared" si="156"/>
        <v>19.734525287268571</v>
      </c>
      <c r="CC70" s="17">
        <f t="shared" si="156"/>
        <v>19.163526739435458</v>
      </c>
      <c r="CD70" s="17">
        <f t="shared" si="156"/>
        <v>20.796810582710719</v>
      </c>
      <c r="CE70" s="17">
        <f t="shared" si="156"/>
        <v>21.652693481994874</v>
      </c>
      <c r="CG70" s="67">
        <f t="shared" si="122"/>
        <v>-32.545296664953007</v>
      </c>
      <c r="CH70" s="68">
        <f t="shared" si="123"/>
        <v>34.517678828525497</v>
      </c>
      <c r="CI70" s="68">
        <f t="shared" si="124"/>
        <v>1.9723821635724959</v>
      </c>
      <c r="CK70" t="str">
        <f t="shared" ref="CK70" si="165">BO70</f>
        <v>92 Elementary administration and service occupations</v>
      </c>
      <c r="CL70" s="17">
        <f t="shared" si="157"/>
        <v>25.676933181293528</v>
      </c>
      <c r="CM70" s="17">
        <f t="shared" si="157"/>
        <v>22.529879631488573</v>
      </c>
      <c r="CN70" s="17">
        <f t="shared" si="157"/>
        <v>20.897362123291835</v>
      </c>
      <c r="CO70" s="17">
        <f t="shared" si="157"/>
        <v>18.172948376782418</v>
      </c>
      <c r="CP70" s="17">
        <f t="shared" si="157"/>
        <v>15.334354623573084</v>
      </c>
      <c r="CR70" s="67">
        <f t="shared" si="126"/>
        <v>-55.298709307950709</v>
      </c>
      <c r="CS70" s="68">
        <f t="shared" si="127"/>
        <v>17.882063011853202</v>
      </c>
      <c r="CT70" s="68">
        <f t="shared" si="128"/>
        <v>-37.416646296097504</v>
      </c>
    </row>
    <row r="71" spans="1:98" x14ac:dyDescent="0.3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3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78.761969178815789</v>
      </c>
      <c r="I72" s="66">
        <f>IF(D35&gt;0,I35/D35*100,0)</f>
        <v>68.876938235110629</v>
      </c>
      <c r="J72" s="66">
        <f>IF(D35&gt;0,(J35/D35)*100,0)</f>
        <v>147.63890741392643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80.314870517556926</v>
      </c>
      <c r="T72" s="66">
        <f t="shared" ref="T72" si="167">IF(O35&gt;0,T35/O35*100,0)</f>
        <v>72.238319198394521</v>
      </c>
      <c r="U72" s="66">
        <f t="shared" ref="U72" si="168">IF(O35&gt;0,(U35/O35)*100,0)</f>
        <v>152.55318971595145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18.902838026004034</v>
      </c>
      <c r="AE72" s="66">
        <f t="shared" ref="AE72" si="170">IF(Z35&gt;0,AE35/Z35*100,0)</f>
        <v>59.936431370011512</v>
      </c>
      <c r="AF72" s="66">
        <f t="shared" ref="AF72" si="171">IF(Z35&gt;0,(AF35/Z35)*100,0)</f>
        <v>78.839269396015538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9.5496437239609904</v>
      </c>
      <c r="AP72" s="66">
        <f t="shared" ref="AP72" si="173">IF(AK35&gt;0,AP35/AK35*100,0)</f>
        <v>55.503173042362228</v>
      </c>
      <c r="AQ72" s="66">
        <f t="shared" ref="AQ72" si="174">IF(AK35&gt;0,(AQ35/AK35)*100,0)</f>
        <v>65.052816766323218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18.049005280694647</v>
      </c>
      <c r="BA72" s="66">
        <f t="shared" ref="BA72" si="176">IF(AV35&gt;0,BA35/AV35*100,0)</f>
        <v>57.096398181685224</v>
      </c>
      <c r="BB72" s="66">
        <f t="shared" ref="BB72" si="177">IF(AV35&gt;0,(BB35/AV35)*100,0)</f>
        <v>75.145403462379875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-0.3751367786024094</v>
      </c>
      <c r="BL72" s="66">
        <f t="shared" ref="BL72" si="179">IF(BG35&gt;0,BL35/BG35*100,0)</f>
        <v>44.826199610888004</v>
      </c>
      <c r="BM72" s="66">
        <f t="shared" ref="BM72" si="180">IF(BG35&gt;0,(BM35/BG35)*100,0)</f>
        <v>44.451062832285594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-19.842158621742335</v>
      </c>
      <c r="BW72" s="66">
        <f t="shared" ref="BW72" si="182">IF(BR35&gt;0,BW35/BR35*100,0)</f>
        <v>40.897739137368724</v>
      </c>
      <c r="BX72" s="66">
        <f t="shared" ref="BX72" si="183">IF(BR35&gt;0,(BX35/BR35)*100,0)</f>
        <v>21.055580515626389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-40.299805558289144</v>
      </c>
      <c r="CH72" s="66">
        <f t="shared" ref="CH72" si="185">IF(CC35&gt;0,CH35/CC35*100,0)</f>
        <v>31.068938916478011</v>
      </c>
      <c r="CI72" s="66">
        <f t="shared" ref="CI72" si="186">IF(CC35&gt;0,(CI35/CC35)*100,0)</f>
        <v>-9.2308666418111258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-39.081944959440143</v>
      </c>
      <c r="CS72" s="66">
        <f t="shared" ref="CS72" si="188">IF(CN35&gt;0,CS35/CN35*100,0)</f>
        <v>24.375595609351489</v>
      </c>
      <c r="CT72" s="66">
        <f t="shared" ref="CT72" si="189">IF(CN35&gt;0,(CT35/CN35)*100,0)</f>
        <v>-14.706349350088658</v>
      </c>
    </row>
    <row r="75" spans="1:98" ht="51" customHeight="1" x14ac:dyDescent="0.3">
      <c r="A75" s="379" t="str">
        <f>CONCATENATE(A$1," (Continued)")</f>
        <v>Basic Table 2  Employment Change by Occupation and Replacement Demand, RQF8 Doctorate, 2015-2035, England (Continued)</v>
      </c>
      <c r="B75" s="379"/>
      <c r="C75" s="379"/>
      <c r="D75" s="379"/>
      <c r="E75" s="379"/>
      <c r="F75" s="379"/>
      <c r="G75" s="379"/>
      <c r="H75" s="379"/>
      <c r="I75" s="379"/>
      <c r="J75" s="379"/>
      <c r="L75" s="379" t="str">
        <f>CONCATENATE(L$1," (Continued)")</f>
        <v>Basic Table 2.1  Employment Change by Occupation and Replacement Demand, RQF7 Other higher degree, 2015-2035, England (Continued)</v>
      </c>
      <c r="M75" s="379"/>
      <c r="N75" s="379"/>
      <c r="O75" s="379"/>
      <c r="P75" s="379"/>
      <c r="Q75" s="379"/>
      <c r="R75" s="379"/>
      <c r="S75" s="379"/>
      <c r="T75" s="379"/>
      <c r="U75" s="379"/>
      <c r="W75" s="379" t="str">
        <f>CONCATENATE(W$1," (Continued)")</f>
        <v>Basic Table 2.2  Employment Change by Occupation and Replacement Demand, RQF6 First degree, 2015-2035, England (Continued)</v>
      </c>
      <c r="X75" s="379"/>
      <c r="Y75" s="379"/>
      <c r="Z75" s="379"/>
      <c r="AA75" s="379"/>
      <c r="AB75" s="379"/>
      <c r="AC75" s="379"/>
      <c r="AD75" s="379"/>
      <c r="AE75" s="379"/>
      <c r="AF75" s="379"/>
      <c r="AH75" s="379" t="str">
        <f>CONCATENATE(AH$1," (Continued)")</f>
        <v>Basic Table 2.3  Employment Change by Occupation and Replacement Demand, RQF5 Foundation degree;Nursing;Teaching, 2015-2035, England (Continued)</v>
      </c>
      <c r="AI75" s="379"/>
      <c r="AJ75" s="379"/>
      <c r="AK75" s="379"/>
      <c r="AL75" s="379"/>
      <c r="AM75" s="379"/>
      <c r="AN75" s="379"/>
      <c r="AO75" s="379"/>
      <c r="AP75" s="379"/>
      <c r="AQ75" s="379"/>
      <c r="AS75" s="379" t="str">
        <f>CONCATENATE(AS$1," (Continued)")</f>
        <v>Basic Table 2.4  Employment Change by Occupation and Replacement Demand, RQF4 HE below degree level, 2015-2035, England (Continued)</v>
      </c>
      <c r="AT75" s="379"/>
      <c r="AU75" s="379"/>
      <c r="AV75" s="379"/>
      <c r="AW75" s="379"/>
      <c r="AX75" s="379"/>
      <c r="AY75" s="379"/>
      <c r="AZ75" s="379"/>
      <c r="BA75" s="379"/>
      <c r="BB75" s="379"/>
      <c r="BD75" s="379" t="str">
        <f>CONCATENATE(BD$1," (Continued)")</f>
        <v>Basic Table 2.5  Employment Change by Occupation and Replacement Demand, RQF3 A level &amp; equivalent, 2015-2035, England (Continued)</v>
      </c>
      <c r="BE75" s="379"/>
      <c r="BF75" s="379"/>
      <c r="BG75" s="379"/>
      <c r="BH75" s="379"/>
      <c r="BI75" s="379"/>
      <c r="BJ75" s="379"/>
      <c r="BK75" s="379"/>
      <c r="BL75" s="379"/>
      <c r="BM75" s="379"/>
      <c r="BO75" s="379" t="str">
        <f>CONCATENATE(BO$1," (Continued)")</f>
        <v>Basic Table 2.6  Employment Change by Occupation and Replacement Demand, RQF2 GCSE(A-C) &amp; equivalent, 2015-2035, England (Continued)</v>
      </c>
      <c r="BP75" s="379"/>
      <c r="BQ75" s="379"/>
      <c r="BR75" s="379"/>
      <c r="BS75" s="379"/>
      <c r="BT75" s="379"/>
      <c r="BU75" s="379"/>
      <c r="BV75" s="379"/>
      <c r="BW75" s="379"/>
      <c r="BX75" s="379"/>
      <c r="BZ75" s="379" t="str">
        <f>CONCATENATE(BZ$1," (Continued)")</f>
        <v>Basic Table 2.7  Employment Change by Occupation and Replacement Demand, RQF1 GCSE(below grade C) &amp; equivalent, 2015-2035, England (Continued)</v>
      </c>
      <c r="CA75" s="379"/>
      <c r="CB75" s="379"/>
      <c r="CC75" s="379"/>
      <c r="CD75" s="379"/>
      <c r="CE75" s="379"/>
      <c r="CF75" s="379"/>
      <c r="CG75" s="379"/>
      <c r="CH75" s="379"/>
      <c r="CI75" s="379"/>
      <c r="CK75" s="379" t="str">
        <f>CONCATENATE(CK$1," (Continued)")</f>
        <v>Basic Table 2.8  Employment Change by Occupation and Replacement Demand, No Qualification, 2015-2035, England (Continued)</v>
      </c>
      <c r="CL75" s="379"/>
      <c r="CM75" s="379"/>
      <c r="CN75" s="379"/>
      <c r="CO75" s="379"/>
      <c r="CP75" s="379"/>
      <c r="CQ75" s="379"/>
      <c r="CR75" s="379"/>
      <c r="CS75" s="379"/>
      <c r="CT75" s="379"/>
    </row>
    <row r="77" spans="1:98" x14ac:dyDescent="0.3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3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3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3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3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8.1874223143085789</v>
      </c>
      <c r="C82" s="17">
        <f t="shared" si="200"/>
        <v>4.5599830189044122</v>
      </c>
      <c r="D82" s="17">
        <f t="shared" si="200"/>
        <v>3.8970485646432351</v>
      </c>
      <c r="E82" s="17">
        <f t="shared" si="200"/>
        <v>3.8941101881714291</v>
      </c>
      <c r="F82" s="17">
        <f t="shared" ref="F82:F107" si="201">IF(AND(F$6-C$6 &lt;&gt; 0,C8&lt;&gt;0,F8&lt;&gt;0),(EXP(LN(F8/C8)/(F$6-C$6))-1)*100,0)</f>
        <v>3.9365213260008858</v>
      </c>
      <c r="H82" s="17">
        <f t="shared" ref="H82:H107" si="202">IF($F$6-$D$6 &lt;&gt; 0,(EXP(LN(1+(H45/100))/($F$6-$D$6))-1)*100,0)</f>
        <v>3.8950896377616839</v>
      </c>
      <c r="I82" s="17">
        <f t="shared" ref="I82:I107" si="203">IF(D8&gt;0,((1+(I8/D8))^(1/($F$6-$D$6))-1)*100,0)</f>
        <v>3.7202664342874003</v>
      </c>
      <c r="J82" s="17">
        <f t="shared" ref="J82:J107" si="204">IF($F$6-$D$6 &lt;&gt; 0,(EXP(LN(1+(J45/100))/($F$6-$D$6))-1)*100,0)</f>
        <v>6.3090065839793263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8.8555200247520958</v>
      </c>
      <c r="N82" s="17">
        <f t="shared" si="205"/>
        <v>3.9650175828828349</v>
      </c>
      <c r="O82" s="17">
        <f t="shared" si="205"/>
        <v>3.2869820240333691</v>
      </c>
      <c r="P82" s="17">
        <f t="shared" si="205"/>
        <v>3.7654607068368318</v>
      </c>
      <c r="Q82" s="17">
        <f t="shared" ref="Q82:Q107" si="206">IF(AND(Q$6-N$6 &lt;&gt; 0,N8&lt;&gt;0,Q8&lt;&gt;0),(EXP(LN(Q8/N8)/(Q$6-N$6))-1)*100,0)</f>
        <v>3.6281415830760277</v>
      </c>
      <c r="S82" s="17">
        <f t="shared" ref="S82:S107" si="207">IF($F$6-$D$6 &lt;&gt; 0,(EXP(LN(1+(S45/100))/($F$6-$D$6))-1)*100,0)</f>
        <v>3.6057220337714524</v>
      </c>
      <c r="T82" s="17">
        <f t="shared" ref="T82:T107" si="208">IF(O8&gt;0,((1+(T8/O8))^(1/($F$6-$D$6))-1)*100,0)</f>
        <v>3.6411781863521453</v>
      </c>
      <c r="U82" s="17">
        <f t="shared" ref="U82:U107" si="209">IF($F$6-$D$6 &lt;&gt; 0,(EXP(LN(1+(U45/100))/($F$6-$D$6))-1)*100,0)</f>
        <v>6.0429330513157353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4.6162315099695039</v>
      </c>
      <c r="Y82" s="17">
        <f t="shared" si="210"/>
        <v>2.1309770306793263</v>
      </c>
      <c r="Z82" s="17">
        <f t="shared" si="210"/>
        <v>-0.8663088797624785</v>
      </c>
      <c r="AA82" s="17">
        <f t="shared" si="210"/>
        <v>1.1022377979468034</v>
      </c>
      <c r="AB82" s="17">
        <f t="shared" ref="AB82:AB107" si="211">IF(AND(AB$6-Y$6 &lt;&gt; 0,Y8&lt;&gt;0,AB8&lt;&gt;0),(EXP(LN(AB8/Y8)/(AB$6-Y$6))-1)*100,0)</f>
        <v>0.54650339620265775</v>
      </c>
      <c r="AD82" s="17">
        <f t="shared" ref="AD82:AD107" si="212">IF($F$6-$D$6 &lt;&gt; 0,(EXP(LN(1+(AD45/100))/($F$6-$D$6))-1)*100,0)</f>
        <v>0.44175008831750517</v>
      </c>
      <c r="AE82" s="17">
        <f t="shared" ref="AE82:AE107" si="213">IF(Z8&gt;0,((1+(AE8/Z8))^(1/($F$6-$D$6))-1)*100,0)</f>
        <v>3.0835283819063974</v>
      </c>
      <c r="AF82" s="17">
        <f t="shared" ref="AF82:AF107" si="214">IF($F$6-$D$6 &lt;&gt; 0,(EXP(LN(1+(AF45/100))/($F$6-$D$6))-1)*100,0)</f>
        <v>3.3755223731336992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3.1309926540686206</v>
      </c>
      <c r="AJ82" s="17">
        <f t="shared" si="215"/>
        <v>6.7077602071519138</v>
      </c>
      <c r="AK82" s="17">
        <f t="shared" si="215"/>
        <v>-1.8214730271123192</v>
      </c>
      <c r="AL82" s="17">
        <f t="shared" si="215"/>
        <v>0.70382346582831268</v>
      </c>
      <c r="AM82" s="17">
        <f t="shared" ref="AM82:AM107" si="216">IF(AND(AM$6-AJ$6 &lt;&gt; 0,AJ8&lt;&gt;0,AM8&lt;&gt;0),(EXP(LN(AM8/AJ8)/(AM$6-AJ$6))-1)*100,0)</f>
        <v>0.27002775618458763</v>
      </c>
      <c r="AO82" s="17">
        <f t="shared" ref="AO82:AO107" si="217">IF($F$6-$D$6 &lt;&gt; 0,(EXP(LN(1+(AO45/100))/($F$6-$D$6))-1)*100,0)</f>
        <v>-0.1450778940925046</v>
      </c>
      <c r="AP82" s="17">
        <f t="shared" ref="AP82:AP107" si="218">IF(AK8&gt;0,((1+(AP8/AK8))^(1/($F$6-$D$6))-1)*100,0)</f>
        <v>2.7500271512120422</v>
      </c>
      <c r="AQ82" s="17">
        <f t="shared" ref="AQ82:AQ107" si="219">IF($F$6-$D$6 &lt;&gt; 0,(EXP(LN(1+(AQ45/100))/($F$6-$D$6))-1)*100,0)</f>
        <v>2.6511325612545322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3.2455734067608377</v>
      </c>
      <c r="AU82" s="17">
        <f t="shared" si="220"/>
        <v>5.9705570195664581</v>
      </c>
      <c r="AV82" s="17">
        <f t="shared" si="220"/>
        <v>-2.0847213985330737</v>
      </c>
      <c r="AW82" s="17">
        <f t="shared" si="220"/>
        <v>0.74749640922913141</v>
      </c>
      <c r="AX82" s="17">
        <f t="shared" ref="AX82:AX107" si="221">IF(AND(AX$6-AU$6 &lt;&gt; 0,AU8&lt;&gt;0,AX8&lt;&gt;0),(EXP(LN(AX8/AU8)/(AX$6-AU$6))-1)*100,0)</f>
        <v>0.16967396549727454</v>
      </c>
      <c r="AZ82" s="17">
        <f t="shared" ref="AZ82:AZ107" si="222">IF($F$6-$D$6 &lt;&gt; 0,(EXP(LN(1+(AZ45/100))/($F$6-$D$6))-1)*100,0)</f>
        <v>-0.20556360455648015</v>
      </c>
      <c r="BA82" s="17">
        <f t="shared" ref="BA82:BA107" si="223">IF(AV8&gt;0,((1+(BA8/AV8))^(1/($F$6-$D$6))-1)*100,0)</f>
        <v>2.7413758655461029</v>
      </c>
      <c r="BB82" s="17">
        <f t="shared" ref="BB82:BB107" si="224">IF($F$6-$D$6 &lt;&gt; 0,(EXP(LN(1+(BB45/100))/($F$6-$D$6))-1)*100,0)</f>
        <v>2.601283993649206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3.5674151802373322</v>
      </c>
      <c r="BF82" s="17">
        <f t="shared" si="225"/>
        <v>4.5948185102246741</v>
      </c>
      <c r="BG82" s="17">
        <f t="shared" si="225"/>
        <v>-3.211239284519285</v>
      </c>
      <c r="BH82" s="17">
        <f t="shared" si="225"/>
        <v>0.26029216569352087</v>
      </c>
      <c r="BI82" s="17">
        <f t="shared" ref="BI82:BI107" si="226">IF(AND(BI$6-BF$6 &lt;&gt; 0,BF8&lt;&gt;0,BI8&lt;&gt;0),(EXP(LN(BI8/BF8)/(BI$6-BF$6))-1)*100,0)</f>
        <v>-0.57507325172393431</v>
      </c>
      <c r="BK82" s="17">
        <f t="shared" ref="BK82:BK107" si="227">IF($F$6-$D$6 &lt;&gt; 0,(EXP(LN(1+(BK45/100))/($F$6-$D$6))-1)*100,0)</f>
        <v>-0.91050381056951846</v>
      </c>
      <c r="BL82" s="17">
        <f t="shared" ref="BL82:BL107" si="228">IF(BG8&gt;0,((1+(BL8/BG8))^(1/($F$6-$D$6))-1)*100,0)</f>
        <v>2.1759557448134847</v>
      </c>
      <c r="BM82" s="17">
        <f t="shared" ref="BM82:BM107" si="229">IF($F$6-$D$6 &lt;&gt; 0,(EXP(LN(1+(BM45/100))/($F$6-$D$6))-1)*100,0)</f>
        <v>1.5144921907020326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2.5893221113618692</v>
      </c>
      <c r="BQ82" s="17">
        <f t="shared" si="230"/>
        <v>-3.5675414714178899</v>
      </c>
      <c r="BR82" s="17">
        <f t="shared" si="230"/>
        <v>-3.9957541039575606</v>
      </c>
      <c r="BS82" s="17">
        <f t="shared" si="230"/>
        <v>-2.5368484881015063</v>
      </c>
      <c r="BT82" s="17">
        <f t="shared" ref="BT82:BT107" si="231">IF(AND(BT$6-BQ$6 &lt;&gt; 0,BQ8&lt;&gt;0,BT8&lt;&gt;0),(EXP(LN(BT8/BQ8)/(BT$6-BQ$6))-1)*100,0)</f>
        <v>-3.0595577620966208</v>
      </c>
      <c r="BV82" s="17">
        <f t="shared" ref="BV82:BV107" si="232">IF($F$6-$D$6 &lt;&gt; 0,(EXP(LN(1+(BV45/100))/($F$6-$D$6))-1)*100,0)</f>
        <v>-3.0255971924836089</v>
      </c>
      <c r="BW82" s="17">
        <f t="shared" ref="BW82:BW107" si="233">IF(BR8&gt;0,((1+(BW8/BR8))^(1/($F$6-$D$6))-1)*100,0)</f>
        <v>2.0103590092973134</v>
      </c>
      <c r="BX82" s="17">
        <f t="shared" ref="BX82:BX107" si="234">IF($F$6-$D$6 &lt;&gt; 0,(EXP(LN(1+(BX45/100))/($F$6-$D$6))-1)*100,0)</f>
        <v>-0.14364020316482984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2.6754448174469259</v>
      </c>
      <c r="CB82" s="17">
        <f t="shared" si="235"/>
        <v>-0.67135255672301497</v>
      </c>
      <c r="CC82" s="17">
        <f t="shared" si="235"/>
        <v>-2.5173507182982946</v>
      </c>
      <c r="CD82" s="17">
        <f t="shared" si="235"/>
        <v>-2.8168237632143933</v>
      </c>
      <c r="CE82" s="17">
        <f t="shared" ref="CE82:CE107" si="236">IF(AND(CE$6-CB$6 &lt;&gt; 0,CB8&lt;&gt;0,CE8&lt;&gt;0),(EXP(LN(CE8/CB8)/(CE$6-CB$6))-1)*100,0)</f>
        <v>-2.5904859392787305</v>
      </c>
      <c r="CG82" s="17">
        <f t="shared" ref="CG82:CG107" si="237">IF($F$6-$D$6 &lt;&gt; 0,(EXP(LN(1+(CG45/100))/($F$6-$D$6))-1)*100,0)</f>
        <v>-2.7171017770290518</v>
      </c>
      <c r="CH82" s="17">
        <f t="shared" ref="CH82:CH107" si="238">IF(CC8&gt;0,((1+(CH8/CC8))^(1/($F$6-$D$6))-1)*100,0)</f>
        <v>2.0067590640547195</v>
      </c>
      <c r="CI82" s="17">
        <f t="shared" ref="CI82:CI107" si="239">IF($F$6-$D$6 &lt;&gt; 0,(EXP(LN(1+(CI45/100))/($F$6-$D$6))-1)*100,0)</f>
        <v>5.7988177351897541E-2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3.5570679918633497</v>
      </c>
      <c r="CM82" s="17">
        <f t="shared" si="240"/>
        <v>-8.6935060474333969</v>
      </c>
      <c r="CN82" s="17">
        <f t="shared" si="240"/>
        <v>-3.8882587329404084</v>
      </c>
      <c r="CO82" s="17">
        <f t="shared" si="240"/>
        <v>-9.1484769727756543E-3</v>
      </c>
      <c r="CP82" s="17">
        <f t="shared" ref="CP82:CP107" si="241">IF(AND(CP$6-CM$6 &lt;&gt; 0,CM8&lt;&gt;0,CP8&lt;&gt;0),(EXP(LN(CP8/CM8)/(CP$6-CM$6))-1)*100,0)</f>
        <v>-1.7971345569604336</v>
      </c>
      <c r="CR82" s="17">
        <f t="shared" ref="CR82:CR107" si="242">IF($F$6-$D$6 &lt;&gt; 0,(EXP(LN(1+(CR45/100))/($F$6-$D$6))-1)*100,0)</f>
        <v>-1.3192761731860125</v>
      </c>
      <c r="CS82" s="17">
        <f t="shared" ref="CS82:CS107" si="243">IF(CN8&gt;0,((1+(CS8/CN8))^(1/($F$6-$D$6))-1)*100,0)</f>
        <v>1.6367082486586693</v>
      </c>
      <c r="CT82" s="17">
        <f t="shared" ref="CT82:CT107" si="244">IF($F$6-$D$6 &lt;&gt; 0,(EXP(LN(1+(CT45/100))/($F$6-$D$6))-1)*100,0)</f>
        <v>0.60753319302662145</v>
      </c>
    </row>
    <row r="83" spans="1:98" x14ac:dyDescent="0.3">
      <c r="A83" t="str">
        <f t="shared" si="199"/>
        <v>12 Other managers and proprietors</v>
      </c>
      <c r="B83" s="17">
        <f t="shared" si="200"/>
        <v>7.1718600766028429</v>
      </c>
      <c r="C83" s="17">
        <f t="shared" si="200"/>
        <v>-2.8915039843526169</v>
      </c>
      <c r="D83" s="17">
        <f t="shared" si="200"/>
        <v>10.533187940582046</v>
      </c>
      <c r="E83" s="17">
        <f t="shared" si="200"/>
        <v>4.9099476579830492</v>
      </c>
      <c r="F83" s="17">
        <f t="shared" si="201"/>
        <v>6.1220090366480351</v>
      </c>
      <c r="H83" s="17">
        <f t="shared" si="202"/>
        <v>6.7518341420095052</v>
      </c>
      <c r="I83" s="17">
        <f t="shared" si="203"/>
        <v>5.2624951888595506</v>
      </c>
      <c r="J83" s="17">
        <f t="shared" si="204"/>
        <v>9.3517784254781411</v>
      </c>
      <c r="L83" t="str">
        <f t="shared" ref="L83:L106" si="245">A83</f>
        <v>12 Other managers and proprietors</v>
      </c>
      <c r="M83" s="17">
        <f t="shared" si="205"/>
        <v>6.9331357740397115</v>
      </c>
      <c r="N83" s="17">
        <f t="shared" si="205"/>
        <v>3.3964587873797747</v>
      </c>
      <c r="O83" s="17">
        <f t="shared" si="205"/>
        <v>9.4497907806497139</v>
      </c>
      <c r="P83" s="17">
        <f t="shared" si="205"/>
        <v>4.6747156012289626</v>
      </c>
      <c r="Q83" s="17">
        <f t="shared" si="206"/>
        <v>6.0626295108082484</v>
      </c>
      <c r="S83" s="17">
        <f t="shared" si="207"/>
        <v>6.2427992871782578</v>
      </c>
      <c r="T83" s="17">
        <f t="shared" si="208"/>
        <v>5.0037217433446912</v>
      </c>
      <c r="U83" s="17">
        <f t="shared" si="209"/>
        <v>8.8342295192261666</v>
      </c>
      <c r="W83" t="str">
        <f t="shared" ref="W83:W106" si="246">A83</f>
        <v>12 Other managers and proprietors</v>
      </c>
      <c r="X83" s="17">
        <f t="shared" si="210"/>
        <v>2.2948937146931581</v>
      </c>
      <c r="Y83" s="17">
        <f t="shared" si="210"/>
        <v>2.9872393413594489</v>
      </c>
      <c r="Z83" s="17">
        <f t="shared" si="210"/>
        <v>5.2811134048669661</v>
      </c>
      <c r="AA83" s="17">
        <f t="shared" si="210"/>
        <v>2.0221828285100996</v>
      </c>
      <c r="AB83" s="17">
        <f t="shared" si="211"/>
        <v>3.0902557943720765</v>
      </c>
      <c r="AD83" s="17">
        <f t="shared" si="212"/>
        <v>3.0971272206128386</v>
      </c>
      <c r="AE83" s="17">
        <f t="shared" si="213"/>
        <v>4.2748332540149203</v>
      </c>
      <c r="AF83" s="17">
        <f t="shared" si="214"/>
        <v>6.166986917313011</v>
      </c>
      <c r="AH83" t="str">
        <f t="shared" ref="AH83:AH106" si="247">L83</f>
        <v>12 Other managers and proprietors</v>
      </c>
      <c r="AI83" s="17">
        <f t="shared" si="215"/>
        <v>2.3829353543573406</v>
      </c>
      <c r="AJ83" s="17">
        <f t="shared" si="215"/>
        <v>8.8710534376226882</v>
      </c>
      <c r="AK83" s="17">
        <f t="shared" si="215"/>
        <v>3.8966558779640614</v>
      </c>
      <c r="AL83" s="17">
        <f t="shared" si="215"/>
        <v>1.9919720482667547</v>
      </c>
      <c r="AM83" s="17">
        <f t="shared" si="216"/>
        <v>3.0027358460655851</v>
      </c>
      <c r="AO83" s="17">
        <f t="shared" si="217"/>
        <v>2.6229549729071211</v>
      </c>
      <c r="AP83" s="17">
        <f t="shared" si="218"/>
        <v>4.0752649653642559</v>
      </c>
      <c r="AQ83" s="17">
        <f t="shared" si="219"/>
        <v>5.6949740513295488</v>
      </c>
      <c r="AS83" t="str">
        <f t="shared" ref="AS83:AS106" si="248">W83</f>
        <v>12 Other managers and proprietors</v>
      </c>
      <c r="AT83" s="17">
        <f t="shared" si="220"/>
        <v>1.9359403669536368</v>
      </c>
      <c r="AU83" s="17">
        <f t="shared" si="220"/>
        <v>4.6137975076427917</v>
      </c>
      <c r="AV83" s="17">
        <f t="shared" si="220"/>
        <v>4.6773474400297887</v>
      </c>
      <c r="AW83" s="17">
        <f t="shared" si="220"/>
        <v>1.4845850956902051</v>
      </c>
      <c r="AX83" s="17">
        <f t="shared" si="221"/>
        <v>2.6663996648803812</v>
      </c>
      <c r="AZ83" s="17">
        <f t="shared" si="222"/>
        <v>2.537869600240672</v>
      </c>
      <c r="BA83" s="17">
        <f t="shared" si="223"/>
        <v>3.9485876983525126</v>
      </c>
      <c r="BB83" s="17">
        <f t="shared" si="224"/>
        <v>5.5361559795287896</v>
      </c>
      <c r="BD83" t="str">
        <f t="shared" ref="BD83:BD106" si="249">AH83</f>
        <v>12 Other managers and proprietors</v>
      </c>
      <c r="BE83" s="17">
        <f t="shared" si="225"/>
        <v>-0.56854362739365838</v>
      </c>
      <c r="BF83" s="17">
        <f t="shared" si="225"/>
        <v>3.6855746109625498</v>
      </c>
      <c r="BG83" s="17">
        <f t="shared" si="225"/>
        <v>2.161999517831048</v>
      </c>
      <c r="BH83" s="17">
        <f t="shared" si="225"/>
        <v>0.50881495942833865</v>
      </c>
      <c r="BI83" s="17">
        <f t="shared" si="226"/>
        <v>1.2192055064825569</v>
      </c>
      <c r="BK83" s="17">
        <f t="shared" si="227"/>
        <v>1.056882473050158</v>
      </c>
      <c r="BL83" s="17">
        <f t="shared" si="228"/>
        <v>2.865859074641075</v>
      </c>
      <c r="BM83" s="17">
        <f t="shared" si="229"/>
        <v>3.5952428116651891</v>
      </c>
      <c r="BO83" t="str">
        <f t="shared" ref="BO83:BO106" si="250">AS83</f>
        <v>12 Other managers and proprietors</v>
      </c>
      <c r="BP83" s="17">
        <f t="shared" si="230"/>
        <v>0.94355109321262454</v>
      </c>
      <c r="BQ83" s="17">
        <f t="shared" si="230"/>
        <v>-3.5003900730809057</v>
      </c>
      <c r="BR83" s="17">
        <f t="shared" si="230"/>
        <v>2.8348358735877266</v>
      </c>
      <c r="BS83" s="17">
        <f t="shared" si="230"/>
        <v>-0.89896134388566251</v>
      </c>
      <c r="BT83" s="17">
        <f t="shared" si="231"/>
        <v>8.6512662737292523E-2</v>
      </c>
      <c r="BV83" s="17">
        <f t="shared" si="232"/>
        <v>0.3303261235586552</v>
      </c>
      <c r="BW83" s="17">
        <f t="shared" si="233"/>
        <v>3.1414292152859291</v>
      </c>
      <c r="BX83" s="17">
        <f t="shared" si="234"/>
        <v>3.3574866551727922</v>
      </c>
      <c r="BZ83" t="str">
        <f t="shared" ref="BZ83:BZ106" si="251">BD83</f>
        <v>12 Other managers and proprietors</v>
      </c>
      <c r="CA83" s="17">
        <f t="shared" si="235"/>
        <v>0.63560734331484792</v>
      </c>
      <c r="CB83" s="17">
        <f t="shared" si="235"/>
        <v>-6.3398716604424425</v>
      </c>
      <c r="CC83" s="17">
        <f t="shared" si="235"/>
        <v>1.3708953085928677</v>
      </c>
      <c r="CD83" s="17">
        <f t="shared" si="235"/>
        <v>-2.7646340361329957</v>
      </c>
      <c r="CE83" s="17">
        <f t="shared" si="236"/>
        <v>-1.7211127362329437</v>
      </c>
      <c r="CG83" s="17">
        <f t="shared" si="237"/>
        <v>-1.4052183679489794</v>
      </c>
      <c r="CH83" s="17">
        <f t="shared" si="238"/>
        <v>2.4631569081860816</v>
      </c>
      <c r="CI83" s="17">
        <f t="shared" si="239"/>
        <v>1.4946777401838363</v>
      </c>
      <c r="CK83" t="str">
        <f t="shared" ref="CK83:CK106" si="252">BO83</f>
        <v>12 Other managers and proprietors</v>
      </c>
      <c r="CL83" s="17">
        <f t="shared" si="240"/>
        <v>-1.1486367896116123</v>
      </c>
      <c r="CM83" s="17">
        <f t="shared" si="240"/>
        <v>-10.438954853766603</v>
      </c>
      <c r="CN83" s="17">
        <f t="shared" si="240"/>
        <v>3.7408962036285187</v>
      </c>
      <c r="CO83" s="17">
        <f t="shared" si="240"/>
        <v>0.23297615769786173</v>
      </c>
      <c r="CP83" s="17">
        <f t="shared" si="241"/>
        <v>0.60590260599409085</v>
      </c>
      <c r="CR83" s="17">
        <f t="shared" si="242"/>
        <v>1.3889010292398973</v>
      </c>
      <c r="CS83" s="17">
        <f t="shared" si="243"/>
        <v>2.4299956452298543</v>
      </c>
      <c r="CT83" s="17">
        <f t="shared" si="244"/>
        <v>3.4505959702528566</v>
      </c>
    </row>
    <row r="84" spans="1:98" x14ac:dyDescent="0.3">
      <c r="A84" t="str">
        <f t="shared" si="199"/>
        <v>21 Science, research, engineering and technology professionals</v>
      </c>
      <c r="B84" s="17">
        <f t="shared" si="200"/>
        <v>6.9134244807676382</v>
      </c>
      <c r="C84" s="17">
        <f t="shared" si="200"/>
        <v>1.7418070747843517</v>
      </c>
      <c r="D84" s="17">
        <f t="shared" si="200"/>
        <v>4.6197881493137416</v>
      </c>
      <c r="E84" s="17">
        <f t="shared" si="200"/>
        <v>2.8862213854556007</v>
      </c>
      <c r="F84" s="17">
        <f t="shared" si="201"/>
        <v>3.3525747193405397</v>
      </c>
      <c r="H84" s="17">
        <f t="shared" si="202"/>
        <v>3.4608615180932611</v>
      </c>
      <c r="I84" s="17">
        <f t="shared" si="203"/>
        <v>2.8476376484340093</v>
      </c>
      <c r="J84" s="17">
        <f t="shared" si="204"/>
        <v>5.3637728456268352</v>
      </c>
      <c r="L84" t="str">
        <f t="shared" si="245"/>
        <v>21 Science, research, engineering and technology professionals</v>
      </c>
      <c r="M84" s="17">
        <f t="shared" si="205"/>
        <v>7.9965805646517341</v>
      </c>
      <c r="N84" s="17">
        <f t="shared" si="205"/>
        <v>6.0054759271829461</v>
      </c>
      <c r="O84" s="17">
        <f t="shared" si="205"/>
        <v>5.5465660726719213</v>
      </c>
      <c r="P84" s="17">
        <f t="shared" si="205"/>
        <v>3.3720277906000851</v>
      </c>
      <c r="Q84" s="17">
        <f t="shared" si="206"/>
        <v>4.2104328698236992</v>
      </c>
      <c r="S84" s="17">
        <f t="shared" si="207"/>
        <v>4.0918498325084984</v>
      </c>
      <c r="T84" s="17">
        <f t="shared" si="208"/>
        <v>3.093789403177194</v>
      </c>
      <c r="U84" s="17">
        <f t="shared" si="209"/>
        <v>6.0228907880235827</v>
      </c>
      <c r="W84" t="str">
        <f t="shared" si="246"/>
        <v>21 Science, research, engineering and technology professionals</v>
      </c>
      <c r="X84" s="17">
        <f t="shared" si="210"/>
        <v>2.4069844070885749</v>
      </c>
      <c r="Y84" s="17">
        <f t="shared" si="210"/>
        <v>3.8562418332184434</v>
      </c>
      <c r="Z84" s="17">
        <f t="shared" si="210"/>
        <v>0.41766639556566343</v>
      </c>
      <c r="AA84" s="17">
        <f t="shared" si="210"/>
        <v>0.27358516180953085</v>
      </c>
      <c r="AB84" s="17">
        <f t="shared" si="211"/>
        <v>0.53893742241901688</v>
      </c>
      <c r="AD84" s="17">
        <f t="shared" si="212"/>
        <v>0.32158925500411772</v>
      </c>
      <c r="AE84" s="17">
        <f t="shared" si="213"/>
        <v>2.3218004017236504</v>
      </c>
      <c r="AF84" s="17">
        <f t="shared" si="214"/>
        <v>2.556527107679174</v>
      </c>
      <c r="AH84" t="str">
        <f t="shared" si="247"/>
        <v>21 Science, research, engineering and technology professionals</v>
      </c>
      <c r="AI84" s="17">
        <f t="shared" si="215"/>
        <v>1.9453212353236049</v>
      </c>
      <c r="AJ84" s="17">
        <f t="shared" si="215"/>
        <v>9.8980219216447516</v>
      </c>
      <c r="AK84" s="17">
        <f t="shared" si="215"/>
        <v>0.63423325306359857</v>
      </c>
      <c r="AL84" s="17">
        <f t="shared" si="215"/>
        <v>0.83023395966892455</v>
      </c>
      <c r="AM84" s="17">
        <f t="shared" si="216"/>
        <v>1.3127598077051772</v>
      </c>
      <c r="AO84" s="17">
        <f t="shared" si="217"/>
        <v>0.76485801173742374</v>
      </c>
      <c r="AP84" s="17">
        <f t="shared" si="218"/>
        <v>2.3276515600620717</v>
      </c>
      <c r="AQ84" s="17">
        <f t="shared" si="219"/>
        <v>2.8903607715749402</v>
      </c>
      <c r="AS84" t="str">
        <f t="shared" si="248"/>
        <v>21 Science, research, engineering and technology professionals</v>
      </c>
      <c r="AT84" s="17">
        <f t="shared" si="220"/>
        <v>1.7441283580089006</v>
      </c>
      <c r="AU84" s="17">
        <f t="shared" si="220"/>
        <v>4.2124175013065202</v>
      </c>
      <c r="AV84" s="17">
        <f t="shared" si="220"/>
        <v>-1.2277200596600313</v>
      </c>
      <c r="AW84" s="17">
        <f t="shared" si="220"/>
        <v>-8.7751312916628521E-2</v>
      </c>
      <c r="AX84" s="17">
        <f t="shared" si="221"/>
        <v>-0.18285647355192891</v>
      </c>
      <c r="AZ84" s="17">
        <f t="shared" si="222"/>
        <v>-0.46919531508267109</v>
      </c>
      <c r="BA84" s="17">
        <f t="shared" si="223"/>
        <v>2.0151494915662038</v>
      </c>
      <c r="BB84" s="17">
        <f t="shared" si="224"/>
        <v>1.6633510457599199</v>
      </c>
      <c r="BD84" t="str">
        <f t="shared" si="249"/>
        <v>21 Science, research, engineering and technology professionals</v>
      </c>
      <c r="BE84" s="17">
        <f t="shared" si="225"/>
        <v>1.839444275276314</v>
      </c>
      <c r="BF84" s="17">
        <f t="shared" si="225"/>
        <v>6.2762855810161167</v>
      </c>
      <c r="BG84" s="17">
        <f t="shared" si="225"/>
        <v>-2.2852894855158512</v>
      </c>
      <c r="BH84" s="17">
        <f t="shared" si="225"/>
        <v>-0.53094640429340867</v>
      </c>
      <c r="BI84" s="17">
        <f t="shared" si="226"/>
        <v>-0.67244427380747096</v>
      </c>
      <c r="BK84" s="17">
        <f t="shared" si="227"/>
        <v>-1.1191994610173395</v>
      </c>
      <c r="BL84" s="17">
        <f t="shared" si="228"/>
        <v>1.5514440337053292</v>
      </c>
      <c r="BM84" s="17">
        <f t="shared" si="229"/>
        <v>0.66437077772423248</v>
      </c>
      <c r="BO84" t="str">
        <f t="shared" si="250"/>
        <v>21 Science, research, engineering and technology professionals</v>
      </c>
      <c r="BP84" s="17">
        <f t="shared" si="230"/>
        <v>1.9503322948587032</v>
      </c>
      <c r="BQ84" s="17">
        <f t="shared" si="230"/>
        <v>0.85245641672744288</v>
      </c>
      <c r="BR84" s="17">
        <f t="shared" si="230"/>
        <v>-1.5907630794049554</v>
      </c>
      <c r="BS84" s="17">
        <f t="shared" si="230"/>
        <v>-1.6316447082976748</v>
      </c>
      <c r="BT84" s="17">
        <f t="shared" si="231"/>
        <v>-1.4654031751978103</v>
      </c>
      <c r="BV84" s="17">
        <f t="shared" si="232"/>
        <v>-1.6180193860418024</v>
      </c>
      <c r="BW84" s="17">
        <f t="shared" si="233"/>
        <v>1.7435679874357346</v>
      </c>
      <c r="BX84" s="17">
        <f t="shared" si="234"/>
        <v>0.50785736633311984</v>
      </c>
      <c r="BZ84" t="str">
        <f t="shared" si="251"/>
        <v>21 Science, research, engineering and technology professionals</v>
      </c>
      <c r="CA84" s="17">
        <f t="shared" si="235"/>
        <v>2.2761977146016799</v>
      </c>
      <c r="CB84" s="17">
        <f t="shared" si="235"/>
        <v>-1.6542426088269502</v>
      </c>
      <c r="CC84" s="17">
        <f t="shared" si="235"/>
        <v>-1.394896634060816</v>
      </c>
      <c r="CD84" s="17">
        <f t="shared" si="235"/>
        <v>-3.8509173128700391</v>
      </c>
      <c r="CE84" s="17">
        <f t="shared" si="236"/>
        <v>-2.9531367238214368</v>
      </c>
      <c r="CG84" s="17">
        <f t="shared" si="237"/>
        <v>-3.0391171852314547</v>
      </c>
      <c r="CH84" s="17">
        <f t="shared" si="238"/>
        <v>1.4851324034052649</v>
      </c>
      <c r="CI84" s="17">
        <f t="shared" si="239"/>
        <v>-0.87177975215358972</v>
      </c>
      <c r="CK84" t="str">
        <f t="shared" si="252"/>
        <v>21 Science, research, engineering and technology professionals</v>
      </c>
      <c r="CL84" s="17">
        <f t="shared" si="240"/>
        <v>5.656422027028829</v>
      </c>
      <c r="CM84" s="17">
        <f t="shared" si="240"/>
        <v>-2.2438285872920294</v>
      </c>
      <c r="CN84" s="17">
        <f t="shared" si="240"/>
        <v>2.9418209379240556</v>
      </c>
      <c r="CO84" s="17">
        <f t="shared" si="240"/>
        <v>0.76328302257777647</v>
      </c>
      <c r="CP84" s="17">
        <f t="shared" si="241"/>
        <v>1.2471731911457784</v>
      </c>
      <c r="CR84" s="17">
        <f t="shared" si="242"/>
        <v>1.4842908779375108</v>
      </c>
      <c r="CS84" s="17">
        <f t="shared" si="243"/>
        <v>1.9979635782042093</v>
      </c>
      <c r="CT84" s="17">
        <f t="shared" si="244"/>
        <v>3.1519355672357419</v>
      </c>
    </row>
    <row r="85" spans="1:98" x14ac:dyDescent="0.3">
      <c r="A85" t="str">
        <f t="shared" si="199"/>
        <v>22 Health professionals</v>
      </c>
      <c r="B85" s="17">
        <f t="shared" si="200"/>
        <v>8.4860891347900314</v>
      </c>
      <c r="C85" s="17">
        <f t="shared" si="200"/>
        <v>1.5349086149576863</v>
      </c>
      <c r="D85" s="17">
        <f t="shared" si="200"/>
        <v>5.8018703996819854</v>
      </c>
      <c r="E85" s="17">
        <f t="shared" si="200"/>
        <v>3.2874490041693738</v>
      </c>
      <c r="F85" s="17">
        <f t="shared" si="201"/>
        <v>3.9554712290090555</v>
      </c>
      <c r="H85" s="17">
        <f t="shared" si="202"/>
        <v>4.1188787768047019</v>
      </c>
      <c r="I85" s="17">
        <f t="shared" si="203"/>
        <v>3.6974915861843982</v>
      </c>
      <c r="J85" s="17">
        <f t="shared" si="204"/>
        <v>6.4561897179775896</v>
      </c>
      <c r="L85" t="str">
        <f t="shared" si="245"/>
        <v>22 Health professionals</v>
      </c>
      <c r="M85" s="17">
        <f t="shared" si="205"/>
        <v>8.5678839592808096</v>
      </c>
      <c r="N85" s="17">
        <f t="shared" si="205"/>
        <v>0.70181672151188312</v>
      </c>
      <c r="O85" s="17">
        <f t="shared" si="205"/>
        <v>5.0414378844036545</v>
      </c>
      <c r="P85" s="17">
        <f t="shared" si="205"/>
        <v>2.9516675017387861</v>
      </c>
      <c r="Q85" s="17">
        <f t="shared" si="206"/>
        <v>3.4572435184887063</v>
      </c>
      <c r="S85" s="17">
        <f t="shared" si="207"/>
        <v>3.6435968135316799</v>
      </c>
      <c r="T85" s="17">
        <f t="shared" si="208"/>
        <v>3.7451866962321612</v>
      </c>
      <c r="U85" s="17">
        <f t="shared" si="209"/>
        <v>6.145657974797758</v>
      </c>
      <c r="W85" t="str">
        <f t="shared" si="246"/>
        <v>22 Health professionals</v>
      </c>
      <c r="X85" s="17">
        <f t="shared" si="210"/>
        <v>4.0224011067686805</v>
      </c>
      <c r="Y85" s="17">
        <f t="shared" si="210"/>
        <v>2.5000168616082785</v>
      </c>
      <c r="Z85" s="17">
        <f t="shared" si="210"/>
        <v>1.9076378719365517</v>
      </c>
      <c r="AA85" s="17">
        <f t="shared" si="210"/>
        <v>0.8100986850388292</v>
      </c>
      <c r="AB85" s="17">
        <f t="shared" si="211"/>
        <v>1.2569579313166157</v>
      </c>
      <c r="AD85" s="17">
        <f t="shared" si="212"/>
        <v>1.1746253729130407</v>
      </c>
      <c r="AE85" s="17">
        <f t="shared" si="213"/>
        <v>3.3760371290928459</v>
      </c>
      <c r="AF85" s="17">
        <f t="shared" si="214"/>
        <v>4.1373284175623803</v>
      </c>
      <c r="AH85" t="str">
        <f t="shared" si="247"/>
        <v>22 Health professionals</v>
      </c>
      <c r="AI85" s="17">
        <f t="shared" si="215"/>
        <v>-5.5907861744567295</v>
      </c>
      <c r="AJ85" s="17">
        <f t="shared" si="215"/>
        <v>-7.2918221723826004</v>
      </c>
      <c r="AK85" s="17">
        <f t="shared" si="215"/>
        <v>-9.8067419205934314</v>
      </c>
      <c r="AL85" s="17">
        <f t="shared" si="215"/>
        <v>-9.2874483491078745</v>
      </c>
      <c r="AM85" s="17">
        <f t="shared" si="216"/>
        <v>-9.3268108474894085</v>
      </c>
      <c r="AO85" s="17">
        <f t="shared" si="217"/>
        <v>-9.4608775664267739</v>
      </c>
      <c r="AP85" s="17">
        <f t="shared" si="218"/>
        <v>1.2193126654657105</v>
      </c>
      <c r="AQ85" s="17">
        <f t="shared" si="219"/>
        <v>-5.5514469346937272</v>
      </c>
      <c r="AS85" t="str">
        <f t="shared" si="248"/>
        <v>22 Health professionals</v>
      </c>
      <c r="AT85" s="17">
        <f t="shared" si="220"/>
        <v>3.6782529276984555</v>
      </c>
      <c r="AU85" s="17">
        <f t="shared" si="220"/>
        <v>13.027980300458841</v>
      </c>
      <c r="AV85" s="17">
        <f t="shared" si="220"/>
        <v>0.97475589836064636</v>
      </c>
      <c r="AW85" s="17">
        <f t="shared" si="220"/>
        <v>0.91853260629628508</v>
      </c>
      <c r="AX85" s="17">
        <f t="shared" si="221"/>
        <v>1.6535280477721237</v>
      </c>
      <c r="AZ85" s="17">
        <f t="shared" si="222"/>
        <v>0.93727022440843744</v>
      </c>
      <c r="BA85" s="17">
        <f t="shared" si="223"/>
        <v>2.9786243939560642</v>
      </c>
      <c r="BB85" s="17">
        <f t="shared" si="224"/>
        <v>3.6143307137490588</v>
      </c>
      <c r="BD85" t="str">
        <f t="shared" si="249"/>
        <v>22 Health professionals</v>
      </c>
      <c r="BE85" s="17">
        <f t="shared" si="225"/>
        <v>5.9073975709951876</v>
      </c>
      <c r="BF85" s="17">
        <f t="shared" si="225"/>
        <v>1.9857025952947804</v>
      </c>
      <c r="BG85" s="17">
        <f t="shared" si="225"/>
        <v>1.8784494904505289</v>
      </c>
      <c r="BH85" s="17">
        <f t="shared" si="225"/>
        <v>0.57433887832929464</v>
      </c>
      <c r="BI85" s="17">
        <f t="shared" si="226"/>
        <v>1.0680588080266507</v>
      </c>
      <c r="BK85" s="17">
        <f t="shared" si="227"/>
        <v>1.0071769541547093</v>
      </c>
      <c r="BL85" s="17">
        <f t="shared" si="228"/>
        <v>3.2218752305657627</v>
      </c>
      <c r="BM85" s="17">
        <f t="shared" si="229"/>
        <v>3.8849194317953861</v>
      </c>
      <c r="BO85" t="str">
        <f t="shared" si="250"/>
        <v>22 Health professionals</v>
      </c>
      <c r="BP85" s="17">
        <f t="shared" si="230"/>
        <v>4.2349852430849433</v>
      </c>
      <c r="BQ85" s="17">
        <f t="shared" si="230"/>
        <v>-3.7328825445971603</v>
      </c>
      <c r="BR85" s="17">
        <f t="shared" si="230"/>
        <v>-0.11831790392818897</v>
      </c>
      <c r="BS85" s="17">
        <f t="shared" si="230"/>
        <v>-2.3829206979306017</v>
      </c>
      <c r="BT85" s="17">
        <f t="shared" si="231"/>
        <v>-1.7663386550396121</v>
      </c>
      <c r="BV85" s="17">
        <f t="shared" si="232"/>
        <v>-1.6338163611773426</v>
      </c>
      <c r="BW85" s="17">
        <f t="shared" si="233"/>
        <v>2.466027213188271</v>
      </c>
      <c r="BX85" s="17">
        <f t="shared" si="234"/>
        <v>1.3465583744243226</v>
      </c>
      <c r="BZ85" t="str">
        <f t="shared" si="251"/>
        <v>22 Health professionals</v>
      </c>
      <c r="CA85" s="17">
        <f t="shared" si="235"/>
        <v>4.4678825016263968</v>
      </c>
      <c r="CB85" s="17">
        <f t="shared" si="235"/>
        <v>-12.399063580163105</v>
      </c>
      <c r="CC85" s="17">
        <f t="shared" si="235"/>
        <v>-0.49144988664324707</v>
      </c>
      <c r="CD85" s="17">
        <f t="shared" si="235"/>
        <v>-4.7026574083763535</v>
      </c>
      <c r="CE85" s="17">
        <f t="shared" si="236"/>
        <v>-3.913214376732832</v>
      </c>
      <c r="CG85" s="17">
        <f t="shared" si="237"/>
        <v>-3.3191055456549878</v>
      </c>
      <c r="CH85" s="17">
        <f t="shared" si="238"/>
        <v>2.031430066830997</v>
      </c>
      <c r="CI85" s="17">
        <f t="shared" si="239"/>
        <v>-0.30777969813624573</v>
      </c>
      <c r="CK85" t="str">
        <f t="shared" si="252"/>
        <v>22 Health professionals</v>
      </c>
      <c r="CL85" s="17">
        <f t="shared" si="240"/>
        <v>6.7133390787992742</v>
      </c>
      <c r="CM85" s="17">
        <f t="shared" si="240"/>
        <v>0.69482222594527965</v>
      </c>
      <c r="CN85" s="17">
        <f t="shared" si="240"/>
        <v>4.8722690227182897</v>
      </c>
      <c r="CO85" s="17">
        <f t="shared" si="240"/>
        <v>3.1073912086611699</v>
      </c>
      <c r="CP85" s="17">
        <f t="shared" si="241"/>
        <v>3.5024256776672535</v>
      </c>
      <c r="CR85" s="17">
        <f t="shared" si="242"/>
        <v>3.6923587928049617</v>
      </c>
      <c r="CS85" s="17">
        <f t="shared" si="243"/>
        <v>2.9716939110361329</v>
      </c>
      <c r="CT85" s="17">
        <f t="shared" si="244"/>
        <v>5.6303908519628632</v>
      </c>
    </row>
    <row r="86" spans="1:98" x14ac:dyDescent="0.3">
      <c r="A86" t="str">
        <f t="shared" si="199"/>
        <v>23 Teaching and other educational professionals</v>
      </c>
      <c r="B86" s="17">
        <f t="shared" si="200"/>
        <v>3.9175836931063301</v>
      </c>
      <c r="C86" s="17">
        <f t="shared" si="200"/>
        <v>3.3882467989361897</v>
      </c>
      <c r="D86" s="17">
        <f t="shared" si="200"/>
        <v>3.0795551185252235</v>
      </c>
      <c r="E86" s="17">
        <f t="shared" si="200"/>
        <v>2.0424107159949578</v>
      </c>
      <c r="F86" s="17">
        <f t="shared" si="201"/>
        <v>2.4492561182660078</v>
      </c>
      <c r="H86" s="17">
        <f t="shared" si="202"/>
        <v>2.3869608208174631</v>
      </c>
      <c r="I86" s="17">
        <f t="shared" si="203"/>
        <v>3.258967099273713</v>
      </c>
      <c r="J86" s="17">
        <f t="shared" si="204"/>
        <v>4.8756207163153542</v>
      </c>
      <c r="L86" t="str">
        <f t="shared" si="245"/>
        <v>23 Teaching and other educational professionals</v>
      </c>
      <c r="M86" s="17">
        <f t="shared" si="205"/>
        <v>4.6053338554703283</v>
      </c>
      <c r="N86" s="17">
        <f t="shared" si="205"/>
        <v>3.4547725557668496</v>
      </c>
      <c r="O86" s="17">
        <f t="shared" si="205"/>
        <v>2.8346030228039387</v>
      </c>
      <c r="P86" s="17">
        <f t="shared" si="205"/>
        <v>1.8538515972142733</v>
      </c>
      <c r="Q86" s="17">
        <f t="shared" si="206"/>
        <v>2.2589530816530479</v>
      </c>
      <c r="S86" s="17">
        <f t="shared" si="207"/>
        <v>2.1797250206611052</v>
      </c>
      <c r="T86" s="17">
        <f t="shared" si="208"/>
        <v>3.3226459148695486</v>
      </c>
      <c r="U86" s="17">
        <f t="shared" si="209"/>
        <v>4.7804892601766236</v>
      </c>
      <c r="W86" t="str">
        <f t="shared" si="246"/>
        <v>23 Teaching and other educational professionals</v>
      </c>
      <c r="X86" s="17">
        <f t="shared" si="210"/>
        <v>-2.687301796869912</v>
      </c>
      <c r="Y86" s="17">
        <f t="shared" si="210"/>
        <v>5.7556672606700721</v>
      </c>
      <c r="Z86" s="17">
        <f t="shared" si="210"/>
        <v>-3.2817909201489637</v>
      </c>
      <c r="AA86" s="17">
        <f t="shared" si="210"/>
        <v>-2.2627411661842567</v>
      </c>
      <c r="AB86" s="17">
        <f t="shared" si="211"/>
        <v>-2.1010798153356158</v>
      </c>
      <c r="AD86" s="17">
        <f t="shared" si="212"/>
        <v>-2.6036118638799732</v>
      </c>
      <c r="AE86" s="17">
        <f t="shared" si="213"/>
        <v>2.367245760018255</v>
      </c>
      <c r="AF86" s="17">
        <f t="shared" si="214"/>
        <v>0.59836254420817525</v>
      </c>
      <c r="AH86" t="str">
        <f t="shared" si="247"/>
        <v>23 Teaching and other educational professionals</v>
      </c>
      <c r="AI86" s="17">
        <f t="shared" si="215"/>
        <v>-12.353099667715572</v>
      </c>
      <c r="AJ86" s="17">
        <f t="shared" si="215"/>
        <v>-6.2401799865808734</v>
      </c>
      <c r="AK86" s="17">
        <f t="shared" si="215"/>
        <v>-7.1164716471403651</v>
      </c>
      <c r="AL86" s="17">
        <f t="shared" si="215"/>
        <v>1.4037108838560464E-2</v>
      </c>
      <c r="AM86" s="17">
        <f t="shared" si="216"/>
        <v>-2.6647851608239681</v>
      </c>
      <c r="AO86" s="17">
        <f t="shared" si="217"/>
        <v>-2.421634247990756</v>
      </c>
      <c r="AP86" s="17">
        <f t="shared" si="218"/>
        <v>1.3661925519614648</v>
      </c>
      <c r="AQ86" s="17">
        <f t="shared" si="219"/>
        <v>-0.56839996153162931</v>
      </c>
      <c r="AS86" t="str">
        <f t="shared" si="248"/>
        <v>23 Teaching and other educational professionals</v>
      </c>
      <c r="AT86" s="17">
        <f t="shared" si="220"/>
        <v>3.4157451342675671E-2</v>
      </c>
      <c r="AU86" s="17">
        <f t="shared" si="220"/>
        <v>6.5869881918666495</v>
      </c>
      <c r="AV86" s="17">
        <f t="shared" si="220"/>
        <v>-2.5733316727902245</v>
      </c>
      <c r="AW86" s="17">
        <f t="shared" si="220"/>
        <v>-0.87406903297764238</v>
      </c>
      <c r="AX86" s="17">
        <f t="shared" si="221"/>
        <v>-0.96005513181515179</v>
      </c>
      <c r="AZ86" s="17">
        <f t="shared" si="222"/>
        <v>-1.4437577102759391</v>
      </c>
      <c r="BA86" s="17">
        <f t="shared" si="223"/>
        <v>2.4514992599427243</v>
      </c>
      <c r="BB86" s="17">
        <f t="shared" si="224"/>
        <v>1.4556548082067522</v>
      </c>
      <c r="BD86" t="str">
        <f t="shared" si="249"/>
        <v>23 Teaching and other educational professionals</v>
      </c>
      <c r="BE86" s="17">
        <f t="shared" si="225"/>
        <v>0.79000280616050578</v>
      </c>
      <c r="BF86" s="17">
        <f t="shared" si="225"/>
        <v>11.534518205597411</v>
      </c>
      <c r="BG86" s="17">
        <f t="shared" si="225"/>
        <v>3.198036425307027E-2</v>
      </c>
      <c r="BH86" s="17">
        <f t="shared" si="225"/>
        <v>0.92868055272188332</v>
      </c>
      <c r="BI86" s="17">
        <f t="shared" si="226"/>
        <v>1.2781125647842062</v>
      </c>
      <c r="BK86" s="17">
        <f t="shared" si="227"/>
        <v>0.62889090282363114</v>
      </c>
      <c r="BL86" s="17">
        <f t="shared" si="228"/>
        <v>2.4359475938499964</v>
      </c>
      <c r="BM86" s="17">
        <f t="shared" si="229"/>
        <v>2.8908414578825647</v>
      </c>
      <c r="BO86" t="str">
        <f t="shared" si="250"/>
        <v>23 Teaching and other educational professionals</v>
      </c>
      <c r="BP86" s="17">
        <f t="shared" si="230"/>
        <v>0.75482989979864801</v>
      </c>
      <c r="BQ86" s="17">
        <f t="shared" si="230"/>
        <v>0.26557542155001279</v>
      </c>
      <c r="BR86" s="17">
        <f t="shared" si="230"/>
        <v>-1.1783494611194767</v>
      </c>
      <c r="BS86" s="17">
        <f t="shared" si="230"/>
        <v>-1.3690011897224297</v>
      </c>
      <c r="BT86" s="17">
        <f t="shared" si="231"/>
        <v>-1.2080250733859765</v>
      </c>
      <c r="BV86" s="17">
        <f t="shared" si="232"/>
        <v>-1.3054915169323555</v>
      </c>
      <c r="BW86" s="17">
        <f t="shared" si="233"/>
        <v>2.3580325782547318</v>
      </c>
      <c r="BX86" s="17">
        <f t="shared" si="234"/>
        <v>1.442206481597208</v>
      </c>
      <c r="BZ86" t="str">
        <f t="shared" si="251"/>
        <v>23 Teaching and other educational professionals</v>
      </c>
      <c r="CA86" s="17">
        <f t="shared" si="235"/>
        <v>0.84821724315671254</v>
      </c>
      <c r="CB86" s="17">
        <f t="shared" si="235"/>
        <v>2.8080847262218489</v>
      </c>
      <c r="CC86" s="17">
        <f t="shared" si="235"/>
        <v>-1.0123105897575591</v>
      </c>
      <c r="CD86" s="17">
        <f t="shared" si="235"/>
        <v>-2.1987898061493927</v>
      </c>
      <c r="CE86" s="17">
        <f t="shared" si="236"/>
        <v>-1.5227373273853373</v>
      </c>
      <c r="CG86" s="17">
        <f t="shared" si="237"/>
        <v>-1.8048853547030563</v>
      </c>
      <c r="CH86" s="17">
        <f t="shared" si="238"/>
        <v>2.148024108369806</v>
      </c>
      <c r="CI86" s="17">
        <f t="shared" si="239"/>
        <v>0.85608645653671989</v>
      </c>
      <c r="CK86" t="str">
        <f t="shared" si="252"/>
        <v>23 Teaching and other educational professionals</v>
      </c>
      <c r="CL86" s="17">
        <f t="shared" si="240"/>
        <v>4.0064644686128803</v>
      </c>
      <c r="CM86" s="17">
        <f t="shared" si="240"/>
        <v>13.775308386477047</v>
      </c>
      <c r="CN86" s="17">
        <f t="shared" si="240"/>
        <v>2.2340164488804826</v>
      </c>
      <c r="CO86" s="17">
        <f t="shared" si="240"/>
        <v>-0.52879762203685843</v>
      </c>
      <c r="CP86" s="17">
        <f t="shared" si="241"/>
        <v>1.172486991830235</v>
      </c>
      <c r="CR86" s="17">
        <f t="shared" si="242"/>
        <v>0.38374322487304546</v>
      </c>
      <c r="CS86" s="17">
        <f t="shared" si="243"/>
        <v>2.3692689318906668</v>
      </c>
      <c r="CT86" s="17">
        <f t="shared" si="244"/>
        <v>2.6479294018286081</v>
      </c>
    </row>
    <row r="87" spans="1:98" x14ac:dyDescent="0.3">
      <c r="A87" t="str">
        <f t="shared" si="199"/>
        <v>24 Business, media and public service professionals</v>
      </c>
      <c r="B87" s="17">
        <f t="shared" si="200"/>
        <v>8.4646571794974044</v>
      </c>
      <c r="C87" s="17">
        <f t="shared" si="200"/>
        <v>7.6125419960366258</v>
      </c>
      <c r="D87" s="17">
        <f t="shared" si="200"/>
        <v>7.5067498047522996</v>
      </c>
      <c r="E87" s="17">
        <f t="shared" si="200"/>
        <v>4.0977994525570827</v>
      </c>
      <c r="F87" s="17">
        <f t="shared" si="201"/>
        <v>5.3697780052401223</v>
      </c>
      <c r="H87" s="17">
        <f t="shared" si="202"/>
        <v>5.2219332176803857</v>
      </c>
      <c r="I87" s="17">
        <f t="shared" si="203"/>
        <v>3.9724410499689444</v>
      </c>
      <c r="J87" s="17">
        <f t="shared" si="204"/>
        <v>7.4532209151048745</v>
      </c>
      <c r="L87" t="str">
        <f t="shared" si="245"/>
        <v>24 Business, media and public service professionals</v>
      </c>
      <c r="M87" s="17">
        <f t="shared" si="205"/>
        <v>8.5207866056751023</v>
      </c>
      <c r="N87" s="17">
        <f t="shared" si="205"/>
        <v>6.91565404609078</v>
      </c>
      <c r="O87" s="17">
        <f t="shared" si="205"/>
        <v>6.0186741847981118</v>
      </c>
      <c r="P87" s="17">
        <f t="shared" si="205"/>
        <v>3.2733841344411596</v>
      </c>
      <c r="Q87" s="17">
        <f t="shared" si="206"/>
        <v>4.3493688620366067</v>
      </c>
      <c r="S87" s="17">
        <f t="shared" si="207"/>
        <v>4.1804898915481559</v>
      </c>
      <c r="T87" s="17">
        <f t="shared" si="208"/>
        <v>3.6966504989215609</v>
      </c>
      <c r="U87" s="17">
        <f t="shared" si="209"/>
        <v>6.5008159007180932</v>
      </c>
      <c r="W87" t="str">
        <f t="shared" si="246"/>
        <v>24 Business, media and public service professionals</v>
      </c>
      <c r="X87" s="17">
        <f t="shared" si="210"/>
        <v>3.1490238911312751</v>
      </c>
      <c r="Y87" s="17">
        <f t="shared" si="210"/>
        <v>8.5081630014586018</v>
      </c>
      <c r="Z87" s="17">
        <f t="shared" si="210"/>
        <v>1.3400196444003587</v>
      </c>
      <c r="AA87" s="17">
        <f t="shared" si="210"/>
        <v>0.25643954721823459</v>
      </c>
      <c r="AB87" s="17">
        <f t="shared" si="211"/>
        <v>1.0923125744918716</v>
      </c>
      <c r="AD87" s="17">
        <f t="shared" si="212"/>
        <v>0.61633940104597329</v>
      </c>
      <c r="AE87" s="17">
        <f t="shared" si="213"/>
        <v>2.9893974911224364</v>
      </c>
      <c r="AF87" s="17">
        <f t="shared" si="214"/>
        <v>3.4036716864739525</v>
      </c>
      <c r="AH87" t="str">
        <f t="shared" si="247"/>
        <v>24 Business, media and public service professionals</v>
      </c>
      <c r="AI87" s="17">
        <f t="shared" si="215"/>
        <v>-0.67895586927538831</v>
      </c>
      <c r="AJ87" s="17">
        <f t="shared" si="215"/>
        <v>12.61188868478138</v>
      </c>
      <c r="AK87" s="17">
        <f t="shared" si="215"/>
        <v>-0.69214173284998237</v>
      </c>
      <c r="AL87" s="17">
        <f t="shared" si="215"/>
        <v>0.32040317957489073</v>
      </c>
      <c r="AM87" s="17">
        <f t="shared" si="216"/>
        <v>0.72787874335529246</v>
      </c>
      <c r="AO87" s="17">
        <f t="shared" si="217"/>
        <v>-1.825372690473781E-2</v>
      </c>
      <c r="AP87" s="17">
        <f t="shared" si="218"/>
        <v>2.1511653731172808</v>
      </c>
      <c r="AQ87" s="17">
        <f t="shared" si="219"/>
        <v>2.1376199297696408</v>
      </c>
      <c r="AS87" t="str">
        <f t="shared" si="248"/>
        <v>24 Business, media and public service professionals</v>
      </c>
      <c r="AT87" s="17">
        <f t="shared" si="220"/>
        <v>2.6163967229041907</v>
      </c>
      <c r="AU87" s="17">
        <f t="shared" si="220"/>
        <v>11.164119111663728</v>
      </c>
      <c r="AV87" s="17">
        <f t="shared" si="220"/>
        <v>1.297211665162501</v>
      </c>
      <c r="AW87" s="17">
        <f t="shared" si="220"/>
        <v>0.6488014154192312</v>
      </c>
      <c r="AX87" s="17">
        <f t="shared" si="221"/>
        <v>1.4792818205020986</v>
      </c>
      <c r="AZ87" s="17">
        <f t="shared" si="222"/>
        <v>0.86447567981293716</v>
      </c>
      <c r="BA87" s="17">
        <f t="shared" si="223"/>
        <v>2.8905224359071058</v>
      </c>
      <c r="BB87" s="17">
        <f t="shared" si="224"/>
        <v>3.4826127407138419</v>
      </c>
      <c r="BD87" t="str">
        <f t="shared" si="249"/>
        <v>24 Business, media and public service professionals</v>
      </c>
      <c r="BE87" s="17">
        <f t="shared" si="225"/>
        <v>3.2923078306635656</v>
      </c>
      <c r="BF87" s="17">
        <f t="shared" si="225"/>
        <v>10.795368681680584</v>
      </c>
      <c r="BG87" s="17">
        <f t="shared" si="225"/>
        <v>0.645925087687238</v>
      </c>
      <c r="BH87" s="17">
        <f t="shared" si="225"/>
        <v>0.17597038164334222</v>
      </c>
      <c r="BI87" s="17">
        <f t="shared" si="226"/>
        <v>0.95634880823527446</v>
      </c>
      <c r="BK87" s="17">
        <f t="shared" si="227"/>
        <v>0.33237762071125498</v>
      </c>
      <c r="BL87" s="17">
        <f t="shared" si="228"/>
        <v>2.3799476650707696</v>
      </c>
      <c r="BM87" s="17">
        <f t="shared" si="229"/>
        <v>2.6207120699201392</v>
      </c>
      <c r="BO87" t="str">
        <f t="shared" si="250"/>
        <v>24 Business, media and public service professionals</v>
      </c>
      <c r="BP87" s="17">
        <f t="shared" si="230"/>
        <v>2.2452687636883351</v>
      </c>
      <c r="BQ87" s="17">
        <f t="shared" si="230"/>
        <v>2.3512690663235247</v>
      </c>
      <c r="BR87" s="17">
        <f t="shared" si="230"/>
        <v>-0.78231624269272659</v>
      </c>
      <c r="BS87" s="17">
        <f t="shared" si="230"/>
        <v>-2.1571548548754649</v>
      </c>
      <c r="BT87" s="17">
        <f t="shared" si="231"/>
        <v>-1.4525056670433911</v>
      </c>
      <c r="BV87" s="17">
        <f t="shared" si="232"/>
        <v>-1.701005221176477</v>
      </c>
      <c r="BW87" s="17">
        <f t="shared" si="233"/>
        <v>2.0780245713796663</v>
      </c>
      <c r="BX87" s="17">
        <f t="shared" si="234"/>
        <v>0.8447987546146507</v>
      </c>
      <c r="BZ87" t="str">
        <f t="shared" si="251"/>
        <v>24 Business, media and public service professionals</v>
      </c>
      <c r="CA87" s="17">
        <f t="shared" si="235"/>
        <v>2.7460841146402348</v>
      </c>
      <c r="CB87" s="17">
        <f t="shared" si="235"/>
        <v>2.7245704590779907</v>
      </c>
      <c r="CC87" s="17">
        <f t="shared" si="235"/>
        <v>-1.0365434653916594</v>
      </c>
      <c r="CD87" s="17">
        <f t="shared" si="235"/>
        <v>-4.1880050031347533</v>
      </c>
      <c r="CE87" s="17">
        <f t="shared" si="236"/>
        <v>-2.7917857124530099</v>
      </c>
      <c r="CG87" s="17">
        <f t="shared" si="237"/>
        <v>-3.1488294551876517</v>
      </c>
      <c r="CH87" s="17">
        <f t="shared" si="238"/>
        <v>1.8330528058853712</v>
      </c>
      <c r="CI87" s="17">
        <f t="shared" si="239"/>
        <v>-0.46813896359960694</v>
      </c>
      <c r="CK87" t="str">
        <f t="shared" si="252"/>
        <v>24 Business, media and public service professionals</v>
      </c>
      <c r="CL87" s="17">
        <f t="shared" si="240"/>
        <v>4.8009607258008291</v>
      </c>
      <c r="CM87" s="17">
        <f t="shared" si="240"/>
        <v>-2.4645944257778774</v>
      </c>
      <c r="CN87" s="17">
        <f t="shared" si="240"/>
        <v>0.96217268861358285</v>
      </c>
      <c r="CO87" s="17">
        <f t="shared" si="240"/>
        <v>-9.8450818360795722E-3</v>
      </c>
      <c r="CP87" s="17">
        <f t="shared" si="241"/>
        <v>0.13721510306008433</v>
      </c>
      <c r="CR87" s="17">
        <f t="shared" si="242"/>
        <v>0.31311657354351485</v>
      </c>
      <c r="CS87" s="17">
        <f t="shared" si="243"/>
        <v>2.068928965920569</v>
      </c>
      <c r="CT87" s="17">
        <f t="shared" si="244"/>
        <v>2.305349252523281</v>
      </c>
    </row>
    <row r="88" spans="1:98" x14ac:dyDescent="0.3">
      <c r="A88" t="str">
        <f t="shared" si="199"/>
        <v>31 Science, engineering and technology associate professionals</v>
      </c>
      <c r="B88" s="17">
        <f t="shared" si="200"/>
        <v>9.5821665459234318</v>
      </c>
      <c r="C88" s="17">
        <f t="shared" si="200"/>
        <v>8.4220985055738282</v>
      </c>
      <c r="D88" s="17">
        <f t="shared" si="200"/>
        <v>3.5600872069665002</v>
      </c>
      <c r="E88" s="17">
        <f t="shared" si="200"/>
        <v>4.377243768763317</v>
      </c>
      <c r="F88" s="17">
        <f t="shared" si="201"/>
        <v>4.3689058806614778</v>
      </c>
      <c r="H88" s="17">
        <f t="shared" si="202"/>
        <v>4.1041443160835467</v>
      </c>
      <c r="I88" s="17">
        <f t="shared" si="203"/>
        <v>3.381038574009021</v>
      </c>
      <c r="J88" s="17">
        <f t="shared" si="204"/>
        <v>6.227499497013711</v>
      </c>
      <c r="L88" t="str">
        <f t="shared" si="245"/>
        <v>31 Science, engineering and technology associate professionals</v>
      </c>
      <c r="M88" s="17">
        <f t="shared" si="205"/>
        <v>8.3655197112219248</v>
      </c>
      <c r="N88" s="17">
        <f t="shared" si="205"/>
        <v>9.4695037873931973</v>
      </c>
      <c r="O88" s="17">
        <f t="shared" si="205"/>
        <v>1.7727889413837294</v>
      </c>
      <c r="P88" s="17">
        <f t="shared" si="205"/>
        <v>3.3152062338370536</v>
      </c>
      <c r="Q88" s="17">
        <f t="shared" si="206"/>
        <v>3.2032502203636293</v>
      </c>
      <c r="S88" s="17">
        <f t="shared" si="207"/>
        <v>2.7984871336868222</v>
      </c>
      <c r="T88" s="17">
        <f t="shared" si="208"/>
        <v>2.9004860731580262</v>
      </c>
      <c r="U88" s="17">
        <f t="shared" si="209"/>
        <v>4.8965250280487149</v>
      </c>
      <c r="W88" t="str">
        <f t="shared" si="246"/>
        <v>31 Science, engineering and technology associate professionals</v>
      </c>
      <c r="X88" s="17">
        <f t="shared" si="210"/>
        <v>4.6421639224463851</v>
      </c>
      <c r="Y88" s="17">
        <f t="shared" si="210"/>
        <v>7.6725533186873918</v>
      </c>
      <c r="Z88" s="17">
        <f t="shared" si="210"/>
        <v>-1.767125616306009</v>
      </c>
      <c r="AA88" s="17">
        <f t="shared" si="210"/>
        <v>0.87133744588216988</v>
      </c>
      <c r="AB88" s="17">
        <f t="shared" si="211"/>
        <v>0.44809193051018603</v>
      </c>
      <c r="AD88" s="17">
        <f t="shared" si="212"/>
        <v>-1.5931823031278824E-2</v>
      </c>
      <c r="AE88" s="17">
        <f t="shared" si="213"/>
        <v>2.4076130477078905</v>
      </c>
      <c r="AF88" s="17">
        <f t="shared" si="214"/>
        <v>2.3961982395200199</v>
      </c>
      <c r="AH88" t="str">
        <f t="shared" si="247"/>
        <v>31 Science, engineering and technology associate professionals</v>
      </c>
      <c r="AI88" s="17">
        <f t="shared" si="215"/>
        <v>5.2717672144691141</v>
      </c>
      <c r="AJ88" s="17">
        <f t="shared" si="215"/>
        <v>12.280996739689432</v>
      </c>
      <c r="AK88" s="17">
        <f t="shared" si="215"/>
        <v>0.33317545234623491</v>
      </c>
      <c r="AL88" s="17">
        <f t="shared" si="215"/>
        <v>2.5859050749474255</v>
      </c>
      <c r="AM88" s="17">
        <f t="shared" si="216"/>
        <v>2.4531638646877019</v>
      </c>
      <c r="AO88" s="17">
        <f t="shared" si="217"/>
        <v>1.8294306255580484</v>
      </c>
      <c r="AP88" s="17">
        <f t="shared" si="218"/>
        <v>2.8695905601683336</v>
      </c>
      <c r="AQ88" s="17">
        <f t="shared" si="219"/>
        <v>4.1531648958915035</v>
      </c>
      <c r="AS88" t="str">
        <f t="shared" si="248"/>
        <v>31 Science, engineering and technology associate professionals</v>
      </c>
      <c r="AT88" s="17">
        <f t="shared" si="220"/>
        <v>2.0407157309437096</v>
      </c>
      <c r="AU88" s="17">
        <f t="shared" si="220"/>
        <v>6.8558435200335222</v>
      </c>
      <c r="AV88" s="17">
        <f t="shared" si="220"/>
        <v>-3.7475809537821703</v>
      </c>
      <c r="AW88" s="17">
        <f t="shared" si="220"/>
        <v>-0.14022015199307569</v>
      </c>
      <c r="AX88" s="17">
        <f t="shared" si="221"/>
        <v>-0.86313945738006881</v>
      </c>
      <c r="AZ88" s="17">
        <f t="shared" si="222"/>
        <v>-1.3574507754376963</v>
      </c>
      <c r="BA88" s="17">
        <f t="shared" si="223"/>
        <v>1.8975116391129587</v>
      </c>
      <c r="BB88" s="17">
        <f t="shared" si="224"/>
        <v>0.87948944037683496</v>
      </c>
      <c r="BD88" t="str">
        <f t="shared" si="249"/>
        <v>31 Science, engineering and technology associate professionals</v>
      </c>
      <c r="BE88" s="17">
        <f t="shared" si="225"/>
        <v>1.5201521318854105</v>
      </c>
      <c r="BF88" s="17">
        <f t="shared" si="225"/>
        <v>11.712984324640141</v>
      </c>
      <c r="BG88" s="17">
        <f t="shared" si="225"/>
        <v>-6.0389588429477286</v>
      </c>
      <c r="BH88" s="17">
        <f t="shared" si="225"/>
        <v>-1.9820907473623417</v>
      </c>
      <c r="BI88" s="17">
        <f t="shared" si="226"/>
        <v>-2.4744139138905941</v>
      </c>
      <c r="BK88" s="17">
        <f t="shared" si="227"/>
        <v>-3.3534779675433168</v>
      </c>
      <c r="BL88" s="17">
        <f t="shared" si="228"/>
        <v>1.4869539674842835</v>
      </c>
      <c r="BM88" s="17">
        <f t="shared" si="229"/>
        <v>-1.0983596172746579</v>
      </c>
      <c r="BO88" t="str">
        <f t="shared" si="250"/>
        <v>31 Science, engineering and technology associate professionals</v>
      </c>
      <c r="BP88" s="17">
        <f t="shared" si="230"/>
        <v>3.3185832760320277</v>
      </c>
      <c r="BQ88" s="17">
        <f t="shared" si="230"/>
        <v>5.6604476658793423</v>
      </c>
      <c r="BR88" s="17">
        <f t="shared" si="230"/>
        <v>-4.291758904863463</v>
      </c>
      <c r="BS88" s="17">
        <f t="shared" si="230"/>
        <v>-0.98150739137966569</v>
      </c>
      <c r="BT88" s="17">
        <f t="shared" si="231"/>
        <v>-1.629724155696155</v>
      </c>
      <c r="BV88" s="17">
        <f t="shared" si="232"/>
        <v>-2.0974541288557136</v>
      </c>
      <c r="BW88" s="17">
        <f t="shared" si="233"/>
        <v>1.7518318749959239</v>
      </c>
      <c r="BX88" s="17">
        <f t="shared" si="234"/>
        <v>0.16610053643344447</v>
      </c>
      <c r="BZ88" t="str">
        <f t="shared" si="251"/>
        <v>31 Science, engineering and technology associate professionals</v>
      </c>
      <c r="CA88" s="17">
        <f t="shared" si="235"/>
        <v>4.0919460202128555</v>
      </c>
      <c r="CB88" s="17">
        <f t="shared" si="235"/>
        <v>6.6814193208923234</v>
      </c>
      <c r="CC88" s="17">
        <f t="shared" si="235"/>
        <v>-4.2605450824826585</v>
      </c>
      <c r="CD88" s="17">
        <f t="shared" si="235"/>
        <v>-2.3075972135165324</v>
      </c>
      <c r="CE88" s="17">
        <f t="shared" si="236"/>
        <v>-2.3865942325646206</v>
      </c>
      <c r="CG88" s="17">
        <f t="shared" si="237"/>
        <v>-2.9629665492960089</v>
      </c>
      <c r="CH88" s="17">
        <f t="shared" si="238"/>
        <v>1.5761726273120891</v>
      </c>
      <c r="CI88" s="17">
        <f t="shared" si="239"/>
        <v>-0.69062481124115838</v>
      </c>
      <c r="CK88" t="str">
        <f t="shared" si="252"/>
        <v>31 Science, engineering and technology associate professionals</v>
      </c>
      <c r="CL88" s="17">
        <f t="shared" si="240"/>
        <v>7.3624653835083986</v>
      </c>
      <c r="CM88" s="17">
        <f t="shared" si="240"/>
        <v>10.627766863175236</v>
      </c>
      <c r="CN88" s="17">
        <f t="shared" si="240"/>
        <v>1.0610606321495908</v>
      </c>
      <c r="CO88" s="17">
        <f t="shared" si="240"/>
        <v>2.8535626776229339</v>
      </c>
      <c r="CP88" s="17">
        <f t="shared" si="241"/>
        <v>2.7569132851812839</v>
      </c>
      <c r="CR88" s="17">
        <f t="shared" si="242"/>
        <v>2.2525569707911641</v>
      </c>
      <c r="CS88" s="17">
        <f t="shared" si="243"/>
        <v>2.4207296318571769</v>
      </c>
      <c r="CT88" s="17">
        <f t="shared" si="244"/>
        <v>4.1046484440827369</v>
      </c>
    </row>
    <row r="89" spans="1:98" x14ac:dyDescent="0.3">
      <c r="A89" t="str">
        <f t="shared" si="199"/>
        <v>32 Health and social care associate professionals</v>
      </c>
      <c r="B89" s="17">
        <f t="shared" si="200"/>
        <v>8.8222217231844091</v>
      </c>
      <c r="C89" s="17">
        <f t="shared" si="200"/>
        <v>-6.8588142415608626</v>
      </c>
      <c r="D89" s="17">
        <f t="shared" si="200"/>
        <v>6.9343208494405673</v>
      </c>
      <c r="E89" s="17">
        <f t="shared" si="200"/>
        <v>5.0314430440814961</v>
      </c>
      <c r="F89" s="17">
        <f t="shared" si="201"/>
        <v>4.8322824404407161</v>
      </c>
      <c r="H89" s="17">
        <f t="shared" si="202"/>
        <v>5.6619432015209137</v>
      </c>
      <c r="I89" s="17">
        <f t="shared" si="203"/>
        <v>4.685134779535538</v>
      </c>
      <c r="J89" s="17">
        <f t="shared" si="204"/>
        <v>8.2228643426642378</v>
      </c>
      <c r="L89" t="str">
        <f t="shared" si="245"/>
        <v>32 Health and social care associate professionals</v>
      </c>
      <c r="M89" s="17">
        <f t="shared" si="205"/>
        <v>8.757575059708822</v>
      </c>
      <c r="N89" s="17">
        <f t="shared" si="205"/>
        <v>3.4295904966082702</v>
      </c>
      <c r="O89" s="17">
        <f t="shared" si="205"/>
        <v>5.2222085384593164</v>
      </c>
      <c r="P89" s="17">
        <f t="shared" si="205"/>
        <v>4.3302640689010241</v>
      </c>
      <c r="Q89" s="17">
        <f t="shared" si="206"/>
        <v>4.5515097577703445</v>
      </c>
      <c r="S89" s="17">
        <f t="shared" si="207"/>
        <v>4.6267356215491384</v>
      </c>
      <c r="T89" s="17">
        <f t="shared" si="208"/>
        <v>4.2155909683129877</v>
      </c>
      <c r="U89" s="17">
        <f t="shared" si="209"/>
        <v>7.1776630792391938</v>
      </c>
      <c r="W89" t="str">
        <f t="shared" si="246"/>
        <v>32 Health and social care associate professionals</v>
      </c>
      <c r="X89" s="17">
        <f t="shared" si="210"/>
        <v>4.1946815514948721</v>
      </c>
      <c r="Y89" s="17">
        <f t="shared" si="210"/>
        <v>4.8839453818020573</v>
      </c>
      <c r="Z89" s="17">
        <f t="shared" si="210"/>
        <v>1.8398294800881843</v>
      </c>
      <c r="AA89" s="17">
        <f t="shared" si="210"/>
        <v>1.6650010634050805</v>
      </c>
      <c r="AB89" s="17">
        <f t="shared" si="211"/>
        <v>1.9179669400694044</v>
      </c>
      <c r="AD89" s="17">
        <f t="shared" si="212"/>
        <v>1.7232438292848373</v>
      </c>
      <c r="AE89" s="17">
        <f t="shared" si="213"/>
        <v>3.7323142799368991</v>
      </c>
      <c r="AF89" s="17">
        <f t="shared" si="214"/>
        <v>4.8153919913257237</v>
      </c>
      <c r="AH89" t="str">
        <f t="shared" si="247"/>
        <v>32 Health and social care associate professionals</v>
      </c>
      <c r="AI89" s="17">
        <f t="shared" si="215"/>
        <v>-3.3779507560851574</v>
      </c>
      <c r="AJ89" s="17">
        <f t="shared" si="215"/>
        <v>-0.56766506644330139</v>
      </c>
      <c r="AK89" s="17">
        <f t="shared" si="215"/>
        <v>-5.8713872021425306</v>
      </c>
      <c r="AL89" s="17">
        <f t="shared" si="215"/>
        <v>-5.1319223987826295</v>
      </c>
      <c r="AM89" s="17">
        <f t="shared" si="216"/>
        <v>-5.0852827705003882</v>
      </c>
      <c r="AO89" s="17">
        <f t="shared" si="217"/>
        <v>-5.3790538854543879</v>
      </c>
      <c r="AP89" s="17">
        <f t="shared" si="218"/>
        <v>1.7234766746075936</v>
      </c>
      <c r="AQ89" s="17">
        <f t="shared" si="219"/>
        <v>-2.0897404763086214</v>
      </c>
      <c r="AS89" t="str">
        <f t="shared" si="248"/>
        <v>32 Health and social care associate professionals</v>
      </c>
      <c r="AT89" s="17">
        <f t="shared" si="220"/>
        <v>3.2211132519596619</v>
      </c>
      <c r="AU89" s="17">
        <f t="shared" si="220"/>
        <v>13.376476082158618</v>
      </c>
      <c r="AV89" s="17">
        <f t="shared" si="220"/>
        <v>-0.84465982807595541</v>
      </c>
      <c r="AW89" s="17">
        <f t="shared" si="220"/>
        <v>0.90175569889066054</v>
      </c>
      <c r="AX89" s="17">
        <f t="shared" si="221"/>
        <v>1.0865024874130214</v>
      </c>
      <c r="AZ89" s="17">
        <f t="shared" si="222"/>
        <v>0.31622595146765242</v>
      </c>
      <c r="BA89" s="17">
        <f t="shared" si="223"/>
        <v>3.0705948230762559</v>
      </c>
      <c r="BB89" s="17">
        <f t="shared" si="224"/>
        <v>3.279323656214661</v>
      </c>
      <c r="BD89" t="str">
        <f t="shared" si="249"/>
        <v>32 Health and social care associate professionals</v>
      </c>
      <c r="BE89" s="17">
        <f t="shared" si="225"/>
        <v>5.3977384246001847</v>
      </c>
      <c r="BF89" s="17">
        <f t="shared" si="225"/>
        <v>5.193155029953167</v>
      </c>
      <c r="BG89" s="17">
        <f t="shared" si="225"/>
        <v>0.48784630441016663</v>
      </c>
      <c r="BH89" s="17">
        <f t="shared" si="225"/>
        <v>1.2191191812674917</v>
      </c>
      <c r="BI89" s="17">
        <f t="shared" si="226"/>
        <v>1.2333932793479496</v>
      </c>
      <c r="BK89" s="17">
        <f t="shared" si="227"/>
        <v>0.97477216680401657</v>
      </c>
      <c r="BL89" s="17">
        <f t="shared" si="228"/>
        <v>3.2332222338958161</v>
      </c>
      <c r="BM89" s="17">
        <f t="shared" si="229"/>
        <v>3.8734739257650252</v>
      </c>
      <c r="BO89" t="str">
        <f t="shared" si="250"/>
        <v>32 Health and social care associate professionals</v>
      </c>
      <c r="BP89" s="17">
        <f t="shared" si="230"/>
        <v>3.3214064188498371</v>
      </c>
      <c r="BQ89" s="17">
        <f t="shared" si="230"/>
        <v>-3.5377400999246356</v>
      </c>
      <c r="BR89" s="17">
        <f t="shared" si="230"/>
        <v>-1.4760703092238869</v>
      </c>
      <c r="BS89" s="17">
        <f t="shared" si="230"/>
        <v>-2.2223431044923747</v>
      </c>
      <c r="BT89" s="17">
        <f t="shared" si="231"/>
        <v>-2.0726742121781938</v>
      </c>
      <c r="BV89" s="17">
        <f t="shared" si="232"/>
        <v>-1.9742157040909092</v>
      </c>
      <c r="BW89" s="17">
        <f t="shared" si="233"/>
        <v>2.5186556358379519</v>
      </c>
      <c r="BX89" s="17">
        <f t="shared" si="234"/>
        <v>1.1876416166028747</v>
      </c>
      <c r="BZ89" t="str">
        <f t="shared" si="251"/>
        <v>32 Health and social care associate professionals</v>
      </c>
      <c r="CA89" s="17">
        <f t="shared" si="235"/>
        <v>-1.0512800798101019</v>
      </c>
      <c r="CB89" s="17">
        <f t="shared" si="235"/>
        <v>-10.062260783900822</v>
      </c>
      <c r="CC89" s="17">
        <f t="shared" si="235"/>
        <v>-3.1685289585718146</v>
      </c>
      <c r="CD89" s="17">
        <f t="shared" si="235"/>
        <v>-4.5674674958359756</v>
      </c>
      <c r="CE89" s="17">
        <f t="shared" si="236"/>
        <v>-4.4871467381088825</v>
      </c>
      <c r="CG89" s="17">
        <f t="shared" si="237"/>
        <v>-4.1034148220121853</v>
      </c>
      <c r="CH89" s="17">
        <f t="shared" si="238"/>
        <v>1.8625217160662899</v>
      </c>
      <c r="CI89" s="17">
        <f t="shared" si="239"/>
        <v>-1.0597393978491798</v>
      </c>
      <c r="CK89" t="str">
        <f t="shared" si="252"/>
        <v>32 Health and social care associate professionals</v>
      </c>
      <c r="CL89" s="17">
        <f t="shared" si="240"/>
        <v>2.7877432790881507</v>
      </c>
      <c r="CM89" s="17">
        <f t="shared" si="240"/>
        <v>-0.72426558828324605</v>
      </c>
      <c r="CN89" s="17">
        <f t="shared" si="240"/>
        <v>2.000115741150621</v>
      </c>
      <c r="CO89" s="17">
        <f t="shared" si="240"/>
        <v>2.8050730638401689</v>
      </c>
      <c r="CP89" s="17">
        <f t="shared" si="241"/>
        <v>2.3291798277039311</v>
      </c>
      <c r="CR89" s="17">
        <f t="shared" si="242"/>
        <v>2.5360505866676375</v>
      </c>
      <c r="CS89" s="17">
        <f t="shared" si="243"/>
        <v>2.69467429332515</v>
      </c>
      <c r="CT89" s="17">
        <f t="shared" si="244"/>
        <v>4.5387307963353107</v>
      </c>
    </row>
    <row r="90" spans="1:98" x14ac:dyDescent="0.3">
      <c r="A90" t="str">
        <f t="shared" si="199"/>
        <v>33 Protective service occupations</v>
      </c>
      <c r="B90" s="17">
        <f t="shared" si="200"/>
        <v>4.2710353605816875</v>
      </c>
      <c r="C90" s="17">
        <f t="shared" si="200"/>
        <v>5.7558720100623795</v>
      </c>
      <c r="D90" s="17">
        <f t="shared" si="200"/>
        <v>10.68055781945203</v>
      </c>
      <c r="E90" s="17">
        <f t="shared" si="200"/>
        <v>5.4866428153640401</v>
      </c>
      <c r="F90" s="17">
        <f t="shared" si="201"/>
        <v>7.1000672303181522</v>
      </c>
      <c r="H90" s="17">
        <f t="shared" si="202"/>
        <v>7.1902853314628423</v>
      </c>
      <c r="I90" s="17">
        <f t="shared" si="203"/>
        <v>3.6156414175402496</v>
      </c>
      <c r="J90" s="17">
        <f t="shared" si="204"/>
        <v>8.7870793156757934</v>
      </c>
      <c r="L90" t="str">
        <f t="shared" si="245"/>
        <v>33 Protective service occupations</v>
      </c>
      <c r="M90" s="17">
        <f t="shared" si="205"/>
        <v>5.8948950042565063</v>
      </c>
      <c r="N90" s="17">
        <f t="shared" si="205"/>
        <v>10.5052366125296</v>
      </c>
      <c r="O90" s="17">
        <f t="shared" si="205"/>
        <v>9.9419952943441636</v>
      </c>
      <c r="P90" s="17">
        <f t="shared" si="205"/>
        <v>5.6915153588933176</v>
      </c>
      <c r="Q90" s="17">
        <f t="shared" si="206"/>
        <v>7.3001023288654432</v>
      </c>
      <c r="S90" s="17">
        <f t="shared" si="207"/>
        <v>7.0897623084754002</v>
      </c>
      <c r="T90" s="17">
        <f t="shared" si="208"/>
        <v>3.3446464796833775</v>
      </c>
      <c r="U90" s="17">
        <f t="shared" si="209"/>
        <v>8.5682791353305365</v>
      </c>
      <c r="W90" t="str">
        <f t="shared" si="246"/>
        <v>33 Protective service occupations</v>
      </c>
      <c r="X90" s="17">
        <f t="shared" si="210"/>
        <v>2.9002050516247602</v>
      </c>
      <c r="Y90" s="17">
        <f t="shared" si="210"/>
        <v>12.330221248185458</v>
      </c>
      <c r="Z90" s="17">
        <f t="shared" si="210"/>
        <v>5.4765258777146331</v>
      </c>
      <c r="AA90" s="17">
        <f t="shared" si="210"/>
        <v>3.2167940930419414</v>
      </c>
      <c r="AB90" s="17">
        <f t="shared" si="211"/>
        <v>4.4687046551952214</v>
      </c>
      <c r="AD90" s="17">
        <f t="shared" si="212"/>
        <v>3.9646069801424488</v>
      </c>
      <c r="AE90" s="17">
        <f t="shared" si="213"/>
        <v>3.2063179506478079</v>
      </c>
      <c r="AF90" s="17">
        <f t="shared" si="214"/>
        <v>6.0019295718950261</v>
      </c>
      <c r="AH90" t="str">
        <f t="shared" si="247"/>
        <v>33 Protective service occupations</v>
      </c>
      <c r="AI90" s="17">
        <f t="shared" si="215"/>
        <v>2.157033481000914</v>
      </c>
      <c r="AJ90" s="17">
        <f t="shared" si="215"/>
        <v>13.664974198910084</v>
      </c>
      <c r="AK90" s="17">
        <f t="shared" si="215"/>
        <v>5.1266489396388781</v>
      </c>
      <c r="AL90" s="17">
        <f t="shared" si="215"/>
        <v>3.0491294534938262</v>
      </c>
      <c r="AM90" s="17">
        <f t="shared" si="216"/>
        <v>4.3313019972198052</v>
      </c>
      <c r="AO90" s="17">
        <f t="shared" si="217"/>
        <v>3.7370336282960492</v>
      </c>
      <c r="AP90" s="17">
        <f t="shared" si="218"/>
        <v>2.8663603387996783</v>
      </c>
      <c r="AQ90" s="17">
        <f t="shared" si="219"/>
        <v>5.5916760914166197</v>
      </c>
      <c r="AS90" t="str">
        <f t="shared" si="248"/>
        <v>33 Protective service occupations</v>
      </c>
      <c r="AT90" s="17">
        <f t="shared" si="220"/>
        <v>-1.8076773533450163</v>
      </c>
      <c r="AU90" s="17">
        <f t="shared" si="220"/>
        <v>9.4748428821396224</v>
      </c>
      <c r="AV90" s="17">
        <f t="shared" si="220"/>
        <v>1.8570810494022982</v>
      </c>
      <c r="AW90" s="17">
        <f t="shared" si="220"/>
        <v>1.1074780173019327</v>
      </c>
      <c r="AX90" s="17">
        <f t="shared" si="221"/>
        <v>1.8459942915497018</v>
      </c>
      <c r="AZ90" s="17">
        <f t="shared" si="222"/>
        <v>1.3567307256661776</v>
      </c>
      <c r="BA90" s="17">
        <f t="shared" si="223"/>
        <v>2.3412920057844122</v>
      </c>
      <c r="BB90" s="17">
        <f t="shared" si="224"/>
        <v>3.3489429120033387</v>
      </c>
      <c r="BD90" t="str">
        <f t="shared" si="249"/>
        <v>33 Protective service occupations</v>
      </c>
      <c r="BE90" s="17">
        <f t="shared" si="225"/>
        <v>-1.6301304387228099</v>
      </c>
      <c r="BF90" s="17">
        <f t="shared" si="225"/>
        <v>7.7617323091091261</v>
      </c>
      <c r="BG90" s="17">
        <f t="shared" si="225"/>
        <v>1.5691145563809128</v>
      </c>
      <c r="BH90" s="17">
        <f t="shared" si="225"/>
        <v>-0.33686727933261995</v>
      </c>
      <c r="BI90" s="17">
        <f t="shared" si="226"/>
        <v>0.74561212135875188</v>
      </c>
      <c r="BK90" s="17">
        <f t="shared" si="227"/>
        <v>0.29445243748664751</v>
      </c>
      <c r="BL90" s="17">
        <f t="shared" si="228"/>
        <v>1.5923773387859441</v>
      </c>
      <c r="BM90" s="17">
        <f t="shared" si="229"/>
        <v>1.8294196197531365</v>
      </c>
      <c r="BO90" t="str">
        <f t="shared" si="250"/>
        <v>33 Protective service occupations</v>
      </c>
      <c r="BP90" s="17">
        <f t="shared" si="230"/>
        <v>0.27835460350980057</v>
      </c>
      <c r="BQ90" s="17">
        <f t="shared" si="230"/>
        <v>-2.0196310065751955</v>
      </c>
      <c r="BR90" s="17">
        <f t="shared" si="230"/>
        <v>1.5292814922562625</v>
      </c>
      <c r="BS90" s="17">
        <f t="shared" si="230"/>
        <v>-2.1327559102457538</v>
      </c>
      <c r="BT90" s="17">
        <f t="shared" si="231"/>
        <v>-0.99563868149307178</v>
      </c>
      <c r="BV90" s="17">
        <f t="shared" si="232"/>
        <v>-0.92699325120625398</v>
      </c>
      <c r="BW90" s="17">
        <f t="shared" si="233"/>
        <v>1.7073898758163786</v>
      </c>
      <c r="BX90" s="17">
        <f t="shared" si="234"/>
        <v>0.9869699147660782</v>
      </c>
      <c r="BZ90" t="str">
        <f t="shared" si="251"/>
        <v>33 Protective service occupations</v>
      </c>
      <c r="CA90" s="17">
        <f t="shared" si="235"/>
        <v>-0.5042684674712361</v>
      </c>
      <c r="CB90" s="17">
        <f t="shared" si="235"/>
        <v>0.40546005776618266</v>
      </c>
      <c r="CC90" s="17">
        <f t="shared" si="235"/>
        <v>1.6995873033642361</v>
      </c>
      <c r="CD90" s="17">
        <f t="shared" si="235"/>
        <v>-2.3090972690218647</v>
      </c>
      <c r="CE90" s="17">
        <f t="shared" si="236"/>
        <v>-0.90404965910139135</v>
      </c>
      <c r="CG90" s="17">
        <f t="shared" si="237"/>
        <v>-0.99074057718385733</v>
      </c>
      <c r="CH90" s="17">
        <f t="shared" si="238"/>
        <v>1.9957786667461397</v>
      </c>
      <c r="CI90" s="17">
        <f t="shared" si="239"/>
        <v>1.2582290254661732</v>
      </c>
      <c r="CK90" t="str">
        <f t="shared" si="252"/>
        <v>33 Protective service occupations</v>
      </c>
      <c r="CL90" s="17">
        <f t="shared" si="240"/>
        <v>-4.3053111074873858</v>
      </c>
      <c r="CM90" s="17">
        <f t="shared" si="240"/>
        <v>-6.8191927934173275</v>
      </c>
      <c r="CN90" s="17">
        <f t="shared" si="240"/>
        <v>-3.6731182014841046</v>
      </c>
      <c r="CO90" s="17">
        <f t="shared" si="240"/>
        <v>-1.4184502146551425</v>
      </c>
      <c r="CP90" s="17">
        <f t="shared" si="241"/>
        <v>-2.4726835302382177</v>
      </c>
      <c r="CR90" s="17">
        <f t="shared" si="242"/>
        <v>-2.1758097771345852</v>
      </c>
      <c r="CS90" s="17">
        <f t="shared" si="243"/>
        <v>1.1061472613708823</v>
      </c>
      <c r="CT90" s="17">
        <f t="shared" si="244"/>
        <v>-0.71210152646645763</v>
      </c>
    </row>
    <row r="91" spans="1:98" x14ac:dyDescent="0.3">
      <c r="A91" t="str">
        <f t="shared" si="199"/>
        <v>34 Culture, media and sports occupations</v>
      </c>
      <c r="B91" s="17">
        <f t="shared" si="200"/>
        <v>8.4476532431817972</v>
      </c>
      <c r="C91" s="17">
        <f t="shared" si="200"/>
        <v>5.7512125148400317</v>
      </c>
      <c r="D91" s="17">
        <f t="shared" si="200"/>
        <v>3.8722315102756699</v>
      </c>
      <c r="E91" s="17">
        <f t="shared" si="200"/>
        <v>3.4535111436735377</v>
      </c>
      <c r="F91" s="17">
        <f t="shared" si="201"/>
        <v>3.7264915032203305</v>
      </c>
      <c r="H91" s="17">
        <f t="shared" si="202"/>
        <v>3.5928967171019011</v>
      </c>
      <c r="I91" s="17">
        <f t="shared" si="203"/>
        <v>3.6893504426332546</v>
      </c>
      <c r="J91" s="17">
        <f t="shared" si="204"/>
        <v>6.0687040211747645</v>
      </c>
      <c r="L91" t="str">
        <f t="shared" si="245"/>
        <v>34 Culture, media and sports occupations</v>
      </c>
      <c r="M91" s="17">
        <f t="shared" si="205"/>
        <v>4.45882033331233</v>
      </c>
      <c r="N91" s="17">
        <f t="shared" si="205"/>
        <v>17.639052442197368</v>
      </c>
      <c r="O91" s="17">
        <f t="shared" si="205"/>
        <v>4.2978292070077861</v>
      </c>
      <c r="P91" s="17">
        <f t="shared" si="205"/>
        <v>3.5616405900544823</v>
      </c>
      <c r="Q91" s="17">
        <f t="shared" si="206"/>
        <v>4.6212290489583197</v>
      </c>
      <c r="S91" s="17">
        <f t="shared" si="207"/>
        <v>3.8064575986601623</v>
      </c>
      <c r="T91" s="17">
        <f t="shared" si="208"/>
        <v>3.5951367408733947</v>
      </c>
      <c r="U91" s="17">
        <f t="shared" si="209"/>
        <v>6.1557285404813866</v>
      </c>
      <c r="W91" t="str">
        <f t="shared" si="246"/>
        <v>34 Culture, media and sports occupations</v>
      </c>
      <c r="X91" s="17">
        <f t="shared" si="210"/>
        <v>-0.58761757275616056</v>
      </c>
      <c r="Y91" s="17">
        <f t="shared" si="210"/>
        <v>8.7916578412959865</v>
      </c>
      <c r="Z91" s="17">
        <f t="shared" si="210"/>
        <v>-0.61511664467762683</v>
      </c>
      <c r="AA91" s="17">
        <f t="shared" si="210"/>
        <v>0.33687178753412095</v>
      </c>
      <c r="AB91" s="17">
        <f t="shared" si="211"/>
        <v>0.54550889666622471</v>
      </c>
      <c r="AD91" s="17">
        <f t="shared" si="212"/>
        <v>1.8533387265562418E-2</v>
      </c>
      <c r="AE91" s="17">
        <f t="shared" si="213"/>
        <v>2.6408465717343566</v>
      </c>
      <c r="AF91" s="17">
        <f t="shared" si="214"/>
        <v>2.6537188038707304</v>
      </c>
      <c r="AH91" t="str">
        <f t="shared" si="247"/>
        <v>34 Culture, media and sports occupations</v>
      </c>
      <c r="AI91" s="17">
        <f t="shared" si="215"/>
        <v>0.15351167049324488</v>
      </c>
      <c r="AJ91" s="17">
        <f t="shared" si="215"/>
        <v>16.560842255440853</v>
      </c>
      <c r="AK91" s="17">
        <f t="shared" si="215"/>
        <v>-0.46998758211068692</v>
      </c>
      <c r="AL91" s="17">
        <f t="shared" si="215"/>
        <v>1.8689281674171498</v>
      </c>
      <c r="AM91" s="17">
        <f t="shared" si="216"/>
        <v>1.9873414387503896</v>
      </c>
      <c r="AO91" s="17">
        <f t="shared" si="217"/>
        <v>1.083245441531222</v>
      </c>
      <c r="AP91" s="17">
        <f t="shared" si="218"/>
        <v>2.7743745776216411</v>
      </c>
      <c r="AQ91" s="17">
        <f t="shared" si="219"/>
        <v>3.5312745668193424</v>
      </c>
      <c r="AS91" t="str">
        <f t="shared" si="248"/>
        <v>34 Culture, media and sports occupations</v>
      </c>
      <c r="AT91" s="17">
        <f t="shared" si="220"/>
        <v>-1.9488758856668231</v>
      </c>
      <c r="AU91" s="17">
        <f t="shared" si="220"/>
        <v>7.2742254204323453</v>
      </c>
      <c r="AV91" s="17">
        <f t="shared" si="220"/>
        <v>-2.2682584434723818</v>
      </c>
      <c r="AW91" s="17">
        <f t="shared" si="220"/>
        <v>-0.29344467224358128</v>
      </c>
      <c r="AX91" s="17">
        <f t="shared" si="221"/>
        <v>-0.4607374631162342</v>
      </c>
      <c r="AZ91" s="17">
        <f t="shared" si="222"/>
        <v>-0.95611035425281488</v>
      </c>
      <c r="BA91" s="17">
        <f t="shared" si="223"/>
        <v>2.3531983023530545</v>
      </c>
      <c r="BB91" s="17">
        <f t="shared" si="224"/>
        <v>1.676747473084883</v>
      </c>
      <c r="BD91" t="str">
        <f t="shared" si="249"/>
        <v>34 Culture, media and sports occupations</v>
      </c>
      <c r="BE91" s="17">
        <f t="shared" si="225"/>
        <v>-1.7373235186407765</v>
      </c>
      <c r="BF91" s="17">
        <f t="shared" si="225"/>
        <v>5.970629904792446</v>
      </c>
      <c r="BG91" s="17">
        <f t="shared" si="225"/>
        <v>-2.8824372562810785</v>
      </c>
      <c r="BH91" s="17">
        <f t="shared" si="225"/>
        <v>-0.37542100578228377</v>
      </c>
      <c r="BI91" s="17">
        <f t="shared" si="226"/>
        <v>-0.78354370433709741</v>
      </c>
      <c r="BK91" s="17">
        <f t="shared" si="227"/>
        <v>-1.2182025582641698</v>
      </c>
      <c r="BL91" s="17">
        <f t="shared" si="228"/>
        <v>1.8900033075076816</v>
      </c>
      <c r="BM91" s="17">
        <f t="shared" si="229"/>
        <v>0.97298481571157502</v>
      </c>
      <c r="BO91" t="str">
        <f t="shared" si="250"/>
        <v>34 Culture, media and sports occupations</v>
      </c>
      <c r="BP91" s="17">
        <f t="shared" si="230"/>
        <v>-3.5823776041001842</v>
      </c>
      <c r="BQ91" s="17">
        <f t="shared" si="230"/>
        <v>-6.709957146224288</v>
      </c>
      <c r="BR91" s="17">
        <f t="shared" si="230"/>
        <v>-5.5211819656636907</v>
      </c>
      <c r="BS91" s="17">
        <f t="shared" si="230"/>
        <v>-5.1297348374862324</v>
      </c>
      <c r="BT91" s="17">
        <f t="shared" si="231"/>
        <v>-5.3516508596732626</v>
      </c>
      <c r="BV91" s="17">
        <f t="shared" si="232"/>
        <v>-5.2603970885138684</v>
      </c>
      <c r="BW91" s="17">
        <f t="shared" si="233"/>
        <v>1.4607030778710728</v>
      </c>
      <c r="BX91" s="17">
        <f t="shared" si="234"/>
        <v>-2.4661160359208734</v>
      </c>
      <c r="BZ91" t="str">
        <f t="shared" si="251"/>
        <v>34 Culture, media and sports occupations</v>
      </c>
      <c r="CA91" s="17">
        <f t="shared" si="235"/>
        <v>-1.924193354631043</v>
      </c>
      <c r="CB91" s="17">
        <f t="shared" si="235"/>
        <v>-5.3801464647601493</v>
      </c>
      <c r="CC91" s="17">
        <f t="shared" si="235"/>
        <v>-4.1073932649050686</v>
      </c>
      <c r="CD91" s="17">
        <f t="shared" si="235"/>
        <v>-4.2150634288814377</v>
      </c>
      <c r="CE91" s="17">
        <f t="shared" si="236"/>
        <v>-4.2546913738779839</v>
      </c>
      <c r="CG91" s="17">
        <f t="shared" si="237"/>
        <v>-4.1791868136241694</v>
      </c>
      <c r="CH91" s="17">
        <f t="shared" si="238"/>
        <v>1.5239624541704799</v>
      </c>
      <c r="CI91" s="17">
        <f t="shared" si="239"/>
        <v>-1.6278806171568849</v>
      </c>
      <c r="CK91" t="str">
        <f t="shared" si="252"/>
        <v>34 Culture, media and sports occupations</v>
      </c>
      <c r="CL91" s="17">
        <f t="shared" si="240"/>
        <v>2.5968849439557351</v>
      </c>
      <c r="CM91" s="17">
        <f t="shared" si="240"/>
        <v>-10.460407658708615</v>
      </c>
      <c r="CN91" s="17">
        <f t="shared" si="240"/>
        <v>-1.363183263232437</v>
      </c>
      <c r="CO91" s="17">
        <f t="shared" si="240"/>
        <v>-0.52202206187689226</v>
      </c>
      <c r="CP91" s="17">
        <f t="shared" si="241"/>
        <v>-1.4361883547827192</v>
      </c>
      <c r="CR91" s="17">
        <f t="shared" si="242"/>
        <v>-0.80320315716015944</v>
      </c>
      <c r="CS91" s="17">
        <f t="shared" si="243"/>
        <v>1.7711021778080038</v>
      </c>
      <c r="CT91" s="17">
        <f t="shared" si="244"/>
        <v>1.1513051329665291</v>
      </c>
    </row>
    <row r="92" spans="1:98" x14ac:dyDescent="0.3">
      <c r="A92" t="str">
        <f t="shared" si="199"/>
        <v>35 Business and public service associate professionals</v>
      </c>
      <c r="B92" s="17">
        <f t="shared" si="200"/>
        <v>6.8599750172098739</v>
      </c>
      <c r="C92" s="17">
        <f t="shared" si="200"/>
        <v>4.6382994643580977</v>
      </c>
      <c r="D92" s="17">
        <f t="shared" si="200"/>
        <v>5.358994459910349</v>
      </c>
      <c r="E92" s="17">
        <f t="shared" si="200"/>
        <v>4.2253824706397269</v>
      </c>
      <c r="F92" s="17">
        <f t="shared" si="201"/>
        <v>4.6041665109304963</v>
      </c>
      <c r="H92" s="17">
        <f t="shared" si="202"/>
        <v>4.6018913766230574</v>
      </c>
      <c r="I92" s="17">
        <f t="shared" si="203"/>
        <v>3.6338010052616054</v>
      </c>
      <c r="J92" s="17">
        <f t="shared" si="204"/>
        <v>6.7713712393385528</v>
      </c>
      <c r="L92" t="str">
        <f t="shared" si="245"/>
        <v>35 Business and public service associate professionals</v>
      </c>
      <c r="M92" s="17">
        <f t="shared" si="205"/>
        <v>6.8518980769000537</v>
      </c>
      <c r="N92" s="17">
        <f t="shared" si="205"/>
        <v>4.280173902447193</v>
      </c>
      <c r="O92" s="17">
        <f t="shared" si="205"/>
        <v>4.3052378788077661</v>
      </c>
      <c r="P92" s="17">
        <f t="shared" si="205"/>
        <v>3.3541268960836979</v>
      </c>
      <c r="Q92" s="17">
        <f t="shared" si="206"/>
        <v>3.7082151762083626</v>
      </c>
      <c r="S92" s="17">
        <f t="shared" si="207"/>
        <v>3.6701963264442083</v>
      </c>
      <c r="T92" s="17">
        <f t="shared" si="208"/>
        <v>3.4860618159513468</v>
      </c>
      <c r="U92" s="17">
        <f t="shared" si="209"/>
        <v>5.9780355625426385</v>
      </c>
      <c r="W92" t="str">
        <f t="shared" si="246"/>
        <v>35 Business and public service associate professionals</v>
      </c>
      <c r="X92" s="17">
        <f t="shared" si="210"/>
        <v>1.5725428767672911</v>
      </c>
      <c r="Y92" s="17">
        <f t="shared" si="210"/>
        <v>3.3620380121396787</v>
      </c>
      <c r="Z92" s="17">
        <f t="shared" si="210"/>
        <v>-0.77699969297335691</v>
      </c>
      <c r="AA92" s="17">
        <f t="shared" si="210"/>
        <v>0.13531660372494425</v>
      </c>
      <c r="AB92" s="17">
        <f t="shared" si="211"/>
        <v>4.7438633568619437E-2</v>
      </c>
      <c r="AD92" s="17">
        <f t="shared" si="212"/>
        <v>-0.1697170831372774</v>
      </c>
      <c r="AE92" s="17">
        <f t="shared" si="213"/>
        <v>2.7135210269487953</v>
      </c>
      <c r="AF92" s="17">
        <f t="shared" si="214"/>
        <v>2.5973165552981792</v>
      </c>
      <c r="AH92" t="str">
        <f t="shared" si="247"/>
        <v>35 Business and public service associate professionals</v>
      </c>
      <c r="AI92" s="17">
        <f t="shared" si="215"/>
        <v>1.4763697619930127</v>
      </c>
      <c r="AJ92" s="17">
        <f t="shared" si="215"/>
        <v>10.253566727020491</v>
      </c>
      <c r="AK92" s="17">
        <f t="shared" si="215"/>
        <v>-0.59694530187168748</v>
      </c>
      <c r="AL92" s="17">
        <f t="shared" si="215"/>
        <v>0.72430549112614262</v>
      </c>
      <c r="AM92" s="17">
        <f t="shared" si="216"/>
        <v>0.87786502920046416</v>
      </c>
      <c r="AO92" s="17">
        <f t="shared" si="217"/>
        <v>0.28194867989246308</v>
      </c>
      <c r="AP92" s="17">
        <f t="shared" si="218"/>
        <v>2.6860370073469308</v>
      </c>
      <c r="AQ92" s="17">
        <f t="shared" si="219"/>
        <v>2.881829634641675</v>
      </c>
      <c r="AS92" t="str">
        <f t="shared" si="248"/>
        <v>35 Business and public service associate professionals</v>
      </c>
      <c r="AT92" s="17">
        <f t="shared" si="220"/>
        <v>1.1459584836707837</v>
      </c>
      <c r="AU92" s="17">
        <f t="shared" si="220"/>
        <v>7.2241634332007587</v>
      </c>
      <c r="AV92" s="17">
        <f t="shared" si="220"/>
        <v>-1.0105147254011015</v>
      </c>
      <c r="AW92" s="17">
        <f t="shared" si="220"/>
        <v>0.53280809030982201</v>
      </c>
      <c r="AX92" s="17">
        <f t="shared" si="221"/>
        <v>0.45169242609386373</v>
      </c>
      <c r="AZ92" s="17">
        <f t="shared" si="222"/>
        <v>1.5711999356571305E-2</v>
      </c>
      <c r="BA92" s="17">
        <f t="shared" si="223"/>
        <v>2.5897455203867104</v>
      </c>
      <c r="BB92" s="17">
        <f t="shared" si="224"/>
        <v>2.6007337617035553</v>
      </c>
      <c r="BD92" t="str">
        <f t="shared" si="249"/>
        <v>35 Business and public service associate professionals</v>
      </c>
      <c r="BE92" s="17">
        <f t="shared" si="225"/>
        <v>0.73558858229152424</v>
      </c>
      <c r="BF92" s="17">
        <f t="shared" si="225"/>
        <v>5.5609293937949333</v>
      </c>
      <c r="BG92" s="17">
        <f t="shared" si="225"/>
        <v>-2.5356559301318526</v>
      </c>
      <c r="BH92" s="17">
        <f t="shared" si="225"/>
        <v>-0.6380379258839719</v>
      </c>
      <c r="BI92" s="17">
        <f t="shared" si="226"/>
        <v>-0.86069935578600987</v>
      </c>
      <c r="BK92" s="17">
        <f t="shared" si="227"/>
        <v>-1.27464728855049</v>
      </c>
      <c r="BL92" s="17">
        <f t="shared" si="228"/>
        <v>2.1032540692337731</v>
      </c>
      <c r="BM92" s="17">
        <f t="shared" si="229"/>
        <v>1.1743994885979214</v>
      </c>
      <c r="BO92" t="str">
        <f t="shared" si="250"/>
        <v>35 Business and public service associate professionals</v>
      </c>
      <c r="BP92" s="17">
        <f t="shared" si="230"/>
        <v>0.39890005779736892</v>
      </c>
      <c r="BQ92" s="17">
        <f t="shared" si="230"/>
        <v>-2.4371011288908839</v>
      </c>
      <c r="BR92" s="17">
        <f t="shared" si="230"/>
        <v>-3.3212046642915882</v>
      </c>
      <c r="BS92" s="17">
        <f t="shared" si="230"/>
        <v>-2.4963738085156284</v>
      </c>
      <c r="BT92" s="17">
        <f t="shared" si="231"/>
        <v>-2.7511929218893671</v>
      </c>
      <c r="BV92" s="17">
        <f t="shared" si="232"/>
        <v>-2.7720963856222469</v>
      </c>
      <c r="BW92" s="17">
        <f t="shared" si="233"/>
        <v>1.8179932359132289</v>
      </c>
      <c r="BX92" s="17">
        <f t="shared" si="234"/>
        <v>-0.22875161660754761</v>
      </c>
      <c r="BZ92" t="str">
        <f t="shared" si="251"/>
        <v>35 Business and public service associate professionals</v>
      </c>
      <c r="CA92" s="17">
        <f t="shared" si="235"/>
        <v>-3.077612946889019E-2</v>
      </c>
      <c r="CB92" s="17">
        <f t="shared" si="235"/>
        <v>-4.3880304954750038</v>
      </c>
      <c r="CC92" s="17">
        <f t="shared" si="235"/>
        <v>-4.1439533112692661</v>
      </c>
      <c r="CD92" s="17">
        <f t="shared" si="235"/>
        <v>-4.7075880888036936</v>
      </c>
      <c r="CE92" s="17">
        <f t="shared" si="236"/>
        <v>-4.5118313490990269</v>
      </c>
      <c r="CG92" s="17">
        <f t="shared" si="237"/>
        <v>-4.5200790374680722</v>
      </c>
      <c r="CH92" s="17">
        <f t="shared" si="238"/>
        <v>1.5002213267660602</v>
      </c>
      <c r="CI92" s="17">
        <f t="shared" si="239"/>
        <v>-1.900128786539923</v>
      </c>
      <c r="CK92" t="str">
        <f t="shared" si="252"/>
        <v>35 Business and public service associate professionals</v>
      </c>
      <c r="CL92" s="17">
        <f t="shared" si="240"/>
        <v>1.0294318656751456</v>
      </c>
      <c r="CM92" s="17">
        <f t="shared" si="240"/>
        <v>-7.2744605074731794</v>
      </c>
      <c r="CN92" s="17">
        <f t="shared" si="240"/>
        <v>-3.2258573270920521</v>
      </c>
      <c r="CO92" s="17">
        <f t="shared" si="240"/>
        <v>0.80371109969334942</v>
      </c>
      <c r="CP92" s="17">
        <f t="shared" si="241"/>
        <v>-0.99147795509221259</v>
      </c>
      <c r="CR92" s="17">
        <f t="shared" si="242"/>
        <v>-0.55778449541430408</v>
      </c>
      <c r="CS92" s="17">
        <f t="shared" si="243"/>
        <v>1.6882763085238617</v>
      </c>
      <c r="CT92" s="17">
        <f t="shared" si="244"/>
        <v>1.2509313713371384</v>
      </c>
    </row>
    <row r="93" spans="1:98" x14ac:dyDescent="0.3">
      <c r="A93" t="str">
        <f t="shared" si="199"/>
        <v>41 Administrative occupations</v>
      </c>
      <c r="B93" s="17">
        <f t="shared" si="200"/>
        <v>5.2286320139928177</v>
      </c>
      <c r="C93" s="17">
        <f t="shared" si="200"/>
        <v>7.481306220568773</v>
      </c>
      <c r="D93" s="17">
        <f t="shared" si="200"/>
        <v>5.2487592230568092</v>
      </c>
      <c r="E93" s="17">
        <f t="shared" si="200"/>
        <v>4.4914578577507136</v>
      </c>
      <c r="F93" s="17">
        <f t="shared" si="201"/>
        <v>4.9123485014070933</v>
      </c>
      <c r="H93" s="17">
        <f t="shared" si="202"/>
        <v>4.7432842522489693</v>
      </c>
      <c r="I93" s="17">
        <f t="shared" si="203"/>
        <v>3.9495367380756541</v>
      </c>
      <c r="J93" s="17">
        <f t="shared" si="204"/>
        <v>7.0844018632221228</v>
      </c>
      <c r="L93" t="str">
        <f t="shared" si="245"/>
        <v>41 Administrative occupations</v>
      </c>
      <c r="M93" s="17">
        <f t="shared" si="205"/>
        <v>5.7178026892864775</v>
      </c>
      <c r="N93" s="17">
        <f t="shared" si="205"/>
        <v>7.6410322399083963</v>
      </c>
      <c r="O93" s="17">
        <f t="shared" si="205"/>
        <v>4.6816565513469577</v>
      </c>
      <c r="P93" s="17">
        <f t="shared" si="205"/>
        <v>3.7870323115032578</v>
      </c>
      <c r="Q93" s="17">
        <f t="shared" si="206"/>
        <v>4.3031940364660182</v>
      </c>
      <c r="S93" s="17">
        <f t="shared" si="207"/>
        <v>4.0843876391204459</v>
      </c>
      <c r="T93" s="17">
        <f t="shared" si="208"/>
        <v>3.8513834517612366</v>
      </c>
      <c r="U93" s="17">
        <f t="shared" si="209"/>
        <v>6.5381976305336931</v>
      </c>
      <c r="W93" t="str">
        <f t="shared" si="246"/>
        <v>41 Administrative occupations</v>
      </c>
      <c r="X93" s="17">
        <f t="shared" si="210"/>
        <v>0.87308962435792559</v>
      </c>
      <c r="Y93" s="17">
        <f t="shared" si="210"/>
        <v>9.6130428540307289</v>
      </c>
      <c r="Z93" s="17">
        <f t="shared" si="210"/>
        <v>0.63175054443396217</v>
      </c>
      <c r="AA93" s="17">
        <f t="shared" si="210"/>
        <v>1.2442043089907484</v>
      </c>
      <c r="AB93" s="17">
        <f t="shared" si="211"/>
        <v>1.5552648117302947</v>
      </c>
      <c r="AD93" s="17">
        <f t="shared" si="212"/>
        <v>1.0396400095679104</v>
      </c>
      <c r="AE93" s="17">
        <f t="shared" si="213"/>
        <v>3.188186548075711</v>
      </c>
      <c r="AF93" s="17">
        <f t="shared" si="214"/>
        <v>3.8761408088536786</v>
      </c>
      <c r="AH93" t="str">
        <f t="shared" si="247"/>
        <v>41 Administrative occupations</v>
      </c>
      <c r="AI93" s="17">
        <f t="shared" si="215"/>
        <v>1.0787937491871569</v>
      </c>
      <c r="AJ93" s="17">
        <f t="shared" si="215"/>
        <v>10.143164589286346</v>
      </c>
      <c r="AK93" s="17">
        <f t="shared" si="215"/>
        <v>0.11968397088069072</v>
      </c>
      <c r="AL93" s="17">
        <f t="shared" si="215"/>
        <v>1.059772174621898</v>
      </c>
      <c r="AM93" s="17">
        <f t="shared" si="216"/>
        <v>1.3085566727321307</v>
      </c>
      <c r="AO93" s="17">
        <f t="shared" si="217"/>
        <v>0.74543272257525661</v>
      </c>
      <c r="AP93" s="17">
        <f t="shared" si="218"/>
        <v>3.2519260946470618</v>
      </c>
      <c r="AQ93" s="17">
        <f t="shared" si="219"/>
        <v>3.7375296796509083</v>
      </c>
      <c r="AS93" t="str">
        <f t="shared" si="248"/>
        <v>41 Administrative occupations</v>
      </c>
      <c r="AT93" s="17">
        <f t="shared" si="220"/>
        <v>0.66076567903328165</v>
      </c>
      <c r="AU93" s="17">
        <f t="shared" si="220"/>
        <v>10.189640696654113</v>
      </c>
      <c r="AV93" s="17">
        <f t="shared" si="220"/>
        <v>-0.42456003148317878</v>
      </c>
      <c r="AW93" s="17">
        <f t="shared" si="220"/>
        <v>1.0817290050275652</v>
      </c>
      <c r="AX93" s="17">
        <f t="shared" si="221"/>
        <v>1.1525381659496459</v>
      </c>
      <c r="AZ93" s="17">
        <f t="shared" si="222"/>
        <v>0.57711777600293335</v>
      </c>
      <c r="BA93" s="17">
        <f t="shared" si="223"/>
        <v>3.0358164016427658</v>
      </c>
      <c r="BB93" s="17">
        <f t="shared" si="224"/>
        <v>3.4209914522702167</v>
      </c>
      <c r="BD93" t="str">
        <f t="shared" si="249"/>
        <v>41 Administrative occupations</v>
      </c>
      <c r="BE93" s="17">
        <f t="shared" si="225"/>
        <v>-0.55701358278903434</v>
      </c>
      <c r="BF93" s="17">
        <f t="shared" si="225"/>
        <v>6.2673155448828011</v>
      </c>
      <c r="BG93" s="17">
        <f t="shared" si="225"/>
        <v>-2.5969383951744307</v>
      </c>
      <c r="BH93" s="17">
        <f t="shared" si="225"/>
        <v>-1.7292821617270748</v>
      </c>
      <c r="BI93" s="17">
        <f t="shared" si="226"/>
        <v>-1.5209155968489152</v>
      </c>
      <c r="BK93" s="17">
        <f t="shared" si="227"/>
        <v>-2.019356300544084</v>
      </c>
      <c r="BL93" s="17">
        <f t="shared" si="228"/>
        <v>2.2424693031027676</v>
      </c>
      <c r="BM93" s="17">
        <f t="shared" si="229"/>
        <v>0.82434999515872409</v>
      </c>
      <c r="BO93" t="str">
        <f t="shared" si="250"/>
        <v>41 Administrative occupations</v>
      </c>
      <c r="BP93" s="17">
        <f t="shared" si="230"/>
        <v>-1.5808728695784979</v>
      </c>
      <c r="BQ93" s="17">
        <f t="shared" si="230"/>
        <v>-0.91940577621315578</v>
      </c>
      <c r="BR93" s="17">
        <f t="shared" si="230"/>
        <v>-3.6754109615545705</v>
      </c>
      <c r="BS93" s="17">
        <f t="shared" si="230"/>
        <v>-3.9371570948702583</v>
      </c>
      <c r="BT93" s="17">
        <f t="shared" si="231"/>
        <v>-3.6693926184119041</v>
      </c>
      <c r="BV93" s="17">
        <f t="shared" si="232"/>
        <v>-3.8499875073379153</v>
      </c>
      <c r="BW93" s="17">
        <f t="shared" si="233"/>
        <v>1.8789475783094867</v>
      </c>
      <c r="BX93" s="17">
        <f t="shared" si="234"/>
        <v>-0.87087057255865741</v>
      </c>
      <c r="BZ93" t="str">
        <f t="shared" si="251"/>
        <v>41 Administrative occupations</v>
      </c>
      <c r="CA93" s="17">
        <f t="shared" si="235"/>
        <v>-3.4021844683562841</v>
      </c>
      <c r="CB93" s="17">
        <f t="shared" si="235"/>
        <v>-6.1701334014691023</v>
      </c>
      <c r="CC93" s="17">
        <f t="shared" si="235"/>
        <v>-7.6571226392281648</v>
      </c>
      <c r="CD93" s="17">
        <f t="shared" si="235"/>
        <v>-9.4439623611881416</v>
      </c>
      <c r="CE93" s="17">
        <f t="shared" si="236"/>
        <v>-8.6868627451838982</v>
      </c>
      <c r="CG93" s="17">
        <f t="shared" si="237"/>
        <v>-8.8522242534430085</v>
      </c>
      <c r="CH93" s="17">
        <f t="shared" si="238"/>
        <v>1.2276490095601389</v>
      </c>
      <c r="CI93" s="17">
        <f t="shared" si="239"/>
        <v>-5.1864056803683223</v>
      </c>
      <c r="CK93" t="str">
        <f t="shared" si="252"/>
        <v>41 Administrative occupations</v>
      </c>
      <c r="CL93" s="17">
        <f t="shared" si="240"/>
        <v>-3.2128331976726821</v>
      </c>
      <c r="CM93" s="17">
        <f t="shared" si="240"/>
        <v>-4.3425391330420897</v>
      </c>
      <c r="CN93" s="17">
        <f t="shared" si="240"/>
        <v>-5.0099074546668954</v>
      </c>
      <c r="CO93" s="17">
        <f t="shared" si="240"/>
        <v>-2.3355765800073813</v>
      </c>
      <c r="CP93" s="17">
        <f t="shared" si="241"/>
        <v>-3.3048605156609012</v>
      </c>
      <c r="CR93" s="17">
        <f t="shared" si="242"/>
        <v>-3.2352830505314456</v>
      </c>
      <c r="CS93" s="17">
        <f t="shared" si="243"/>
        <v>1.3950007892491234</v>
      </c>
      <c r="CT93" s="17">
        <f t="shared" si="244"/>
        <v>-1.14332084430534</v>
      </c>
    </row>
    <row r="94" spans="1:98" x14ac:dyDescent="0.3">
      <c r="A94" t="str">
        <f t="shared" si="199"/>
        <v>42 Secretarial and related occupations</v>
      </c>
      <c r="B94" s="17">
        <f t="shared" si="200"/>
        <v>6.9562162328796528</v>
      </c>
      <c r="C94" s="17">
        <f t="shared" si="200"/>
        <v>-1.0041523850641054</v>
      </c>
      <c r="D94" s="17">
        <f t="shared" si="200"/>
        <v>11.005552915025119</v>
      </c>
      <c r="E94" s="17">
        <f t="shared" si="200"/>
        <v>6.9353870042820231</v>
      </c>
      <c r="F94" s="17">
        <f t="shared" si="201"/>
        <v>7.6706127736728469</v>
      </c>
      <c r="H94" s="17">
        <f t="shared" si="202"/>
        <v>8.2752508231058073</v>
      </c>
      <c r="I94" s="17">
        <f t="shared" si="203"/>
        <v>5.9632353674782257</v>
      </c>
      <c r="J94" s="17">
        <f t="shared" si="204"/>
        <v>10.836164736832444</v>
      </c>
      <c r="L94" t="str">
        <f t="shared" si="245"/>
        <v>42 Secretarial and related occupations</v>
      </c>
      <c r="M94" s="17">
        <f t="shared" si="205"/>
        <v>4.1687806530617211</v>
      </c>
      <c r="N94" s="17">
        <f t="shared" si="205"/>
        <v>3.875996098879364</v>
      </c>
      <c r="O94" s="17">
        <f t="shared" si="205"/>
        <v>10.137050412327353</v>
      </c>
      <c r="P94" s="17">
        <f t="shared" si="205"/>
        <v>3.0121789351107209</v>
      </c>
      <c r="Q94" s="17">
        <f t="shared" si="206"/>
        <v>5.2426461134232438</v>
      </c>
      <c r="S94" s="17">
        <f t="shared" si="207"/>
        <v>5.334392817356215</v>
      </c>
      <c r="T94" s="17">
        <f t="shared" si="208"/>
        <v>4.7710573744842444</v>
      </c>
      <c r="U94" s="17">
        <f t="shared" si="209"/>
        <v>8.0458883362791944</v>
      </c>
      <c r="W94" t="str">
        <f t="shared" si="246"/>
        <v>42 Secretarial and related occupations</v>
      </c>
      <c r="X94" s="17">
        <f t="shared" si="210"/>
        <v>0.10224057423739996</v>
      </c>
      <c r="Y94" s="17">
        <f t="shared" si="210"/>
        <v>4.9005210561946067</v>
      </c>
      <c r="Z94" s="17">
        <f t="shared" si="210"/>
        <v>7.3822541315567536</v>
      </c>
      <c r="AA94" s="17">
        <f t="shared" si="210"/>
        <v>3.3229308701810067</v>
      </c>
      <c r="AB94" s="17">
        <f t="shared" si="211"/>
        <v>4.6737931296878532</v>
      </c>
      <c r="AD94" s="17">
        <f t="shared" si="212"/>
        <v>4.6586953699945255</v>
      </c>
      <c r="AE94" s="17">
        <f t="shared" si="213"/>
        <v>4.6170314107222721</v>
      </c>
      <c r="AF94" s="17">
        <f t="shared" si="214"/>
        <v>7.4733349496733714</v>
      </c>
      <c r="AH94" t="str">
        <f t="shared" si="247"/>
        <v>42 Secretarial and related occupations</v>
      </c>
      <c r="AI94" s="17">
        <f t="shared" si="215"/>
        <v>-0.38961345538790493</v>
      </c>
      <c r="AJ94" s="17">
        <f t="shared" si="215"/>
        <v>9.2682631210012865</v>
      </c>
      <c r="AK94" s="17">
        <f t="shared" si="215"/>
        <v>5.5836975622737484</v>
      </c>
      <c r="AL94" s="17">
        <f t="shared" si="215"/>
        <v>1.105474307989196</v>
      </c>
      <c r="AM94" s="17">
        <f t="shared" si="216"/>
        <v>2.982651096553024</v>
      </c>
      <c r="AO94" s="17">
        <f t="shared" si="217"/>
        <v>2.5767030757977816</v>
      </c>
      <c r="AP94" s="17">
        <f t="shared" si="218"/>
        <v>4.0256472117623954</v>
      </c>
      <c r="AQ94" s="17">
        <f t="shared" si="219"/>
        <v>5.6242979980456242</v>
      </c>
      <c r="AS94" t="str">
        <f t="shared" si="248"/>
        <v>42 Secretarial and related occupations</v>
      </c>
      <c r="AT94" s="17">
        <f t="shared" si="220"/>
        <v>-1.5812892095781739</v>
      </c>
      <c r="AU94" s="17">
        <f t="shared" si="220"/>
        <v>8.1725339624326043</v>
      </c>
      <c r="AV94" s="17">
        <f t="shared" si="220"/>
        <v>4.1375462055555534</v>
      </c>
      <c r="AW94" s="17">
        <f t="shared" si="220"/>
        <v>4.5650197511726276E-2</v>
      </c>
      <c r="AX94" s="17">
        <f t="shared" si="221"/>
        <v>1.8025105857671475</v>
      </c>
      <c r="AZ94" s="17">
        <f t="shared" si="222"/>
        <v>1.3914313564179492</v>
      </c>
      <c r="BA94" s="17">
        <f t="shared" si="223"/>
        <v>3.5522204400943336</v>
      </c>
      <c r="BB94" s="17">
        <f t="shared" si="224"/>
        <v>4.4389597101251788</v>
      </c>
      <c r="BD94" t="str">
        <f t="shared" si="249"/>
        <v>42 Secretarial and related occupations</v>
      </c>
      <c r="BE94" s="17">
        <f t="shared" si="225"/>
        <v>-2.2647948513347949</v>
      </c>
      <c r="BF94" s="17">
        <f t="shared" si="225"/>
        <v>-0.24055114946295308</v>
      </c>
      <c r="BG94" s="17">
        <f t="shared" si="225"/>
        <v>1.7331446634118564</v>
      </c>
      <c r="BH94" s="17">
        <f t="shared" si="225"/>
        <v>-8.9493914581077796</v>
      </c>
      <c r="BI94" s="17">
        <f t="shared" si="226"/>
        <v>-5.1977964260887859</v>
      </c>
      <c r="BK94" s="17">
        <f t="shared" si="227"/>
        <v>-5.5193820980059316</v>
      </c>
      <c r="BL94" s="17">
        <f t="shared" si="228"/>
        <v>2.34052591397651</v>
      </c>
      <c r="BM94" s="17">
        <f t="shared" si="229"/>
        <v>-1.1432285469849535</v>
      </c>
      <c r="BO94" t="str">
        <f t="shared" si="250"/>
        <v>42 Secretarial and related occupations</v>
      </c>
      <c r="BP94" s="17">
        <f t="shared" si="230"/>
        <v>-4.6867640416018874</v>
      </c>
      <c r="BQ94" s="17">
        <f t="shared" si="230"/>
        <v>-8.4096447943696191</v>
      </c>
      <c r="BR94" s="17">
        <f t="shared" si="230"/>
        <v>-3.885704349916963</v>
      </c>
      <c r="BS94" s="17">
        <f t="shared" si="230"/>
        <v>-12.531710930921259</v>
      </c>
      <c r="BT94" s="17">
        <f t="shared" si="231"/>
        <v>-9.6572097198030722</v>
      </c>
      <c r="BV94" s="17">
        <f t="shared" si="232"/>
        <v>-9.7397739327938595</v>
      </c>
      <c r="BW94" s="17">
        <f t="shared" si="233"/>
        <v>1.6746769641069248</v>
      </c>
      <c r="BX94" s="17">
        <f t="shared" si="234"/>
        <v>-4.542608086616462</v>
      </c>
      <c r="BZ94" t="str">
        <f t="shared" si="251"/>
        <v>42 Secretarial and related occupations</v>
      </c>
      <c r="CA94" s="17">
        <f t="shared" si="235"/>
        <v>-2.829182624704174</v>
      </c>
      <c r="CB94" s="17">
        <f t="shared" si="235"/>
        <v>-10.97396621708574</v>
      </c>
      <c r="CC94" s="17">
        <f t="shared" si="235"/>
        <v>-10.280716335166806</v>
      </c>
      <c r="CD94" s="17">
        <f t="shared" si="235"/>
        <v>-14.012945914437536</v>
      </c>
      <c r="CE94" s="17">
        <f t="shared" si="236"/>
        <v>-12.674255943485168</v>
      </c>
      <c r="CG94" s="17">
        <f t="shared" si="237"/>
        <v>-12.78644705469938</v>
      </c>
      <c r="CH94" s="17">
        <f t="shared" si="238"/>
        <v>1.2032825165934513</v>
      </c>
      <c r="CI94" s="17">
        <f t="shared" si="239"/>
        <v>-7.219512026102592</v>
      </c>
      <c r="CK94" t="str">
        <f t="shared" si="252"/>
        <v>42 Secretarial and related occupations</v>
      </c>
      <c r="CL94" s="17">
        <f t="shared" si="240"/>
        <v>-0.60195683632628949</v>
      </c>
      <c r="CM94" s="17">
        <f t="shared" si="240"/>
        <v>-7.3821530044280053</v>
      </c>
      <c r="CN94" s="17">
        <f t="shared" si="240"/>
        <v>1.0164461028036031</v>
      </c>
      <c r="CO94" s="17">
        <f t="shared" si="240"/>
        <v>-1.7764865074195724</v>
      </c>
      <c r="CP94" s="17">
        <f t="shared" si="241"/>
        <v>-1.2753483862669612</v>
      </c>
      <c r="CR94" s="17">
        <f t="shared" si="242"/>
        <v>-0.8541961158767708</v>
      </c>
      <c r="CS94" s="17">
        <f t="shared" si="243"/>
        <v>2.2496093270482964</v>
      </c>
      <c r="CT94" s="17">
        <f t="shared" si="244"/>
        <v>1.6348595375093034</v>
      </c>
    </row>
    <row r="95" spans="1:98" x14ac:dyDescent="0.3">
      <c r="A95" t="str">
        <f t="shared" si="199"/>
        <v>51 Skilled agricultural and related trades</v>
      </c>
      <c r="B95" s="17">
        <f t="shared" si="200"/>
        <v>10.822220308224173</v>
      </c>
      <c r="C95" s="17">
        <f t="shared" si="200"/>
        <v>-19.836469561998939</v>
      </c>
      <c r="D95" s="17">
        <f t="shared" si="200"/>
        <v>5.1363201435902006</v>
      </c>
      <c r="E95" s="17">
        <f t="shared" si="200"/>
        <v>4.4664205387910716</v>
      </c>
      <c r="F95" s="17">
        <f t="shared" si="201"/>
        <v>2.9572039931826888</v>
      </c>
      <c r="H95" s="17">
        <f t="shared" si="202"/>
        <v>4.6892447906044854</v>
      </c>
      <c r="I95" s="17">
        <f t="shared" si="203"/>
        <v>4.8876163315519694</v>
      </c>
      <c r="J95" s="17">
        <f t="shared" si="204"/>
        <v>7.6806016769599861</v>
      </c>
      <c r="L95" t="str">
        <f t="shared" si="245"/>
        <v>51 Skilled agricultural and related trades</v>
      </c>
      <c r="M95" s="17">
        <f t="shared" si="205"/>
        <v>4.3541582942922874</v>
      </c>
      <c r="N95" s="17">
        <f t="shared" si="205"/>
        <v>-15.597005939685427</v>
      </c>
      <c r="O95" s="17">
        <f t="shared" si="205"/>
        <v>4.8817539465114912</v>
      </c>
      <c r="P95" s="17">
        <f t="shared" si="205"/>
        <v>4.5758725887194984</v>
      </c>
      <c r="Q95" s="17">
        <f t="shared" si="206"/>
        <v>3.2787048689844722</v>
      </c>
      <c r="S95" s="17">
        <f t="shared" si="207"/>
        <v>4.6777337920991702</v>
      </c>
      <c r="T95" s="17">
        <f t="shared" si="208"/>
        <v>4.3552797641554175</v>
      </c>
      <c r="U95" s="17">
        <f t="shared" si="209"/>
        <v>7.3083102974249803</v>
      </c>
      <c r="W95" t="str">
        <f t="shared" si="246"/>
        <v>51 Skilled agricultural and related trades</v>
      </c>
      <c r="X95" s="17">
        <f t="shared" si="210"/>
        <v>1.3029761146971408</v>
      </c>
      <c r="Y95" s="17">
        <f t="shared" si="210"/>
        <v>7.8655699701845938</v>
      </c>
      <c r="Z95" s="17">
        <f t="shared" si="210"/>
        <v>3.004233904343856</v>
      </c>
      <c r="AA95" s="17">
        <f t="shared" si="210"/>
        <v>3.4235887020069855</v>
      </c>
      <c r="AB95" s="17">
        <f t="shared" si="211"/>
        <v>3.5641967492547444</v>
      </c>
      <c r="AD95" s="17">
        <f t="shared" si="212"/>
        <v>3.2836144126248579</v>
      </c>
      <c r="AE95" s="17">
        <f t="shared" si="213"/>
        <v>4.3396709480863827</v>
      </c>
      <c r="AF95" s="17">
        <f t="shared" si="214"/>
        <v>6.3408497942653463</v>
      </c>
      <c r="AH95" t="str">
        <f t="shared" si="247"/>
        <v>51 Skilled agricultural and related trades</v>
      </c>
      <c r="AI95" s="17">
        <f t="shared" si="215"/>
        <v>3.071287801928313</v>
      </c>
      <c r="AJ95" s="17">
        <f t="shared" si="215"/>
        <v>-7.9569686989894528</v>
      </c>
      <c r="AK95" s="17">
        <f t="shared" si="215"/>
        <v>3.2758880431030368</v>
      </c>
      <c r="AL95" s="17">
        <f t="shared" si="215"/>
        <v>2.8747374830472738</v>
      </c>
      <c r="AM95" s="17">
        <f t="shared" si="216"/>
        <v>2.2862042671701222</v>
      </c>
      <c r="AO95" s="17">
        <f t="shared" si="217"/>
        <v>3.0082809064282401</v>
      </c>
      <c r="AP95" s="17">
        <f t="shared" si="218"/>
        <v>4.5112556079806909</v>
      </c>
      <c r="AQ95" s="17">
        <f t="shared" si="219"/>
        <v>6.2941007406076332</v>
      </c>
      <c r="AS95" t="str">
        <f t="shared" si="248"/>
        <v>51 Skilled agricultural and related trades</v>
      </c>
      <c r="AT95" s="17">
        <f t="shared" si="220"/>
        <v>2.0646115134131726</v>
      </c>
      <c r="AU95" s="17">
        <f t="shared" si="220"/>
        <v>-5.4458064668471584</v>
      </c>
      <c r="AV95" s="17">
        <f t="shared" si="220"/>
        <v>2.2873392202225951</v>
      </c>
      <c r="AW95" s="17">
        <f t="shared" si="220"/>
        <v>3.1893770975758295</v>
      </c>
      <c r="AX95" s="17">
        <f t="shared" si="221"/>
        <v>2.346090301374848</v>
      </c>
      <c r="AZ95" s="17">
        <f t="shared" si="222"/>
        <v>2.8878173882141311</v>
      </c>
      <c r="BA95" s="17">
        <f t="shared" si="223"/>
        <v>4.0501908014735299</v>
      </c>
      <c r="BB95" s="17">
        <f t="shared" si="224"/>
        <v>5.8516351525534027</v>
      </c>
      <c r="BD95" t="str">
        <f t="shared" si="249"/>
        <v>51 Skilled agricultural and related trades</v>
      </c>
      <c r="BE95" s="17">
        <f t="shared" si="225"/>
        <v>-0.12755078091194472</v>
      </c>
      <c r="BF95" s="17">
        <f t="shared" si="225"/>
        <v>-12.279817324536458</v>
      </c>
      <c r="BG95" s="17">
        <f t="shared" si="225"/>
        <v>-0.84362463901705986</v>
      </c>
      <c r="BH95" s="17">
        <f t="shared" si="225"/>
        <v>0.4002668103087581</v>
      </c>
      <c r="BI95" s="17">
        <f t="shared" si="226"/>
        <v>-0.83047953887926962</v>
      </c>
      <c r="BK95" s="17">
        <f t="shared" si="227"/>
        <v>-1.6087887422289171E-2</v>
      </c>
      <c r="BL95" s="17">
        <f t="shared" si="228"/>
        <v>2.7680966446119948</v>
      </c>
      <c r="BM95" s="17">
        <f t="shared" si="229"/>
        <v>2.7571238263640163</v>
      </c>
      <c r="BO95" t="str">
        <f t="shared" si="250"/>
        <v>51 Skilled agricultural and related trades</v>
      </c>
      <c r="BP95" s="17">
        <f t="shared" si="230"/>
        <v>0.32603757101579145</v>
      </c>
      <c r="BQ95" s="17">
        <f t="shared" si="230"/>
        <v>-15.735693311721189</v>
      </c>
      <c r="BR95" s="17">
        <f t="shared" si="230"/>
        <v>-0.4830075395463318</v>
      </c>
      <c r="BS95" s="17">
        <f t="shared" si="230"/>
        <v>-0.24523164964211919</v>
      </c>
      <c r="BT95" s="17">
        <f t="shared" si="231"/>
        <v>-1.3654297221999401</v>
      </c>
      <c r="BV95" s="17">
        <f t="shared" si="232"/>
        <v>-0.32455333687008148</v>
      </c>
      <c r="BW95" s="17">
        <f t="shared" si="233"/>
        <v>2.8441837333739617</v>
      </c>
      <c r="BX95" s="17">
        <f t="shared" si="234"/>
        <v>2.6267403510368936</v>
      </c>
      <c r="BZ95" t="str">
        <f t="shared" si="251"/>
        <v>51 Skilled agricultural and related trades</v>
      </c>
      <c r="CA95" s="17">
        <f t="shared" si="235"/>
        <v>-1.2392823071481041</v>
      </c>
      <c r="CB95" s="17">
        <f t="shared" si="235"/>
        <v>-11.845067277621935</v>
      </c>
      <c r="CC95" s="17">
        <f t="shared" si="235"/>
        <v>-1.028385699773271</v>
      </c>
      <c r="CD95" s="17">
        <f t="shared" si="235"/>
        <v>0.94853078723606821</v>
      </c>
      <c r="CE95" s="17">
        <f t="shared" si="236"/>
        <v>-0.51960646646853625</v>
      </c>
      <c r="CG95" s="17">
        <f t="shared" si="237"/>
        <v>0.28520956381856699</v>
      </c>
      <c r="CH95" s="17">
        <f t="shared" si="238"/>
        <v>2.4976217660737099</v>
      </c>
      <c r="CI95" s="17">
        <f t="shared" si="239"/>
        <v>2.7007763694404829</v>
      </c>
      <c r="CK95" t="str">
        <f t="shared" si="252"/>
        <v>51 Skilled agricultural and related trades</v>
      </c>
      <c r="CL95" s="17">
        <f t="shared" si="240"/>
        <v>-1.1640921764101697</v>
      </c>
      <c r="CM95" s="17">
        <f t="shared" si="240"/>
        <v>-16.625965961509692</v>
      </c>
      <c r="CN95" s="17">
        <f t="shared" si="240"/>
        <v>-1.048013892925459</v>
      </c>
      <c r="CO95" s="17">
        <f t="shared" si="240"/>
        <v>-5.950389867805006</v>
      </c>
      <c r="CP95" s="17">
        <f t="shared" si="241"/>
        <v>-5.1619290155255459</v>
      </c>
      <c r="CR95" s="17">
        <f t="shared" si="242"/>
        <v>-4.3438629998691525</v>
      </c>
      <c r="CS95" s="17">
        <f t="shared" si="243"/>
        <v>1.6981173467229382</v>
      </c>
      <c r="CT95" s="17">
        <f t="shared" si="244"/>
        <v>-1.4682339414331058</v>
      </c>
    </row>
    <row r="96" spans="1:98" x14ac:dyDescent="0.3">
      <c r="A96" t="str">
        <f t="shared" si="199"/>
        <v>52 Skilled metal, electrical and electronic trades</v>
      </c>
      <c r="B96" s="17">
        <f t="shared" si="200"/>
        <v>5.3415687485490304</v>
      </c>
      <c r="C96" s="17">
        <f t="shared" si="200"/>
        <v>3.0658251704333894</v>
      </c>
      <c r="D96" s="17">
        <f t="shared" si="200"/>
        <v>5.9432635848334581</v>
      </c>
      <c r="E96" s="17">
        <f t="shared" si="200"/>
        <v>4.8489635099393524</v>
      </c>
      <c r="F96" s="17">
        <f t="shared" si="201"/>
        <v>5.0770029829003471</v>
      </c>
      <c r="H96" s="17">
        <f t="shared" si="202"/>
        <v>5.212468495470568</v>
      </c>
      <c r="I96" s="17">
        <f t="shared" si="203"/>
        <v>3.6510944517919475</v>
      </c>
      <c r="J96" s="17">
        <f t="shared" si="204"/>
        <v>7.2450416128984729</v>
      </c>
      <c r="L96" t="str">
        <f t="shared" si="245"/>
        <v>52 Skilled metal, electrical and electronic trades</v>
      </c>
      <c r="M96" s="17">
        <f t="shared" si="205"/>
        <v>6.8849529135819765</v>
      </c>
      <c r="N96" s="17">
        <f t="shared" si="205"/>
        <v>-13.873908839254344</v>
      </c>
      <c r="O96" s="17">
        <f t="shared" si="205"/>
        <v>10.551461981777187</v>
      </c>
      <c r="P96" s="17">
        <f t="shared" si="205"/>
        <v>5.3865675721494588</v>
      </c>
      <c r="Q96" s="17">
        <f t="shared" si="206"/>
        <v>5.6332426566550131</v>
      </c>
      <c r="S96" s="17">
        <f t="shared" si="207"/>
        <v>7.080815491280279</v>
      </c>
      <c r="T96" s="17">
        <f t="shared" si="208"/>
        <v>4.5938225874342598</v>
      </c>
      <c r="U96" s="17">
        <f t="shared" si="209"/>
        <v>9.2154098899038583</v>
      </c>
      <c r="W96" t="str">
        <f t="shared" si="246"/>
        <v>52 Skilled metal, electrical and electronic trades</v>
      </c>
      <c r="X96" s="17">
        <f t="shared" si="210"/>
        <v>2.0412078037462145</v>
      </c>
      <c r="Y96" s="17">
        <f t="shared" si="210"/>
        <v>-14.119549238219664</v>
      </c>
      <c r="Z96" s="17">
        <f t="shared" si="210"/>
        <v>4.4976942079553828</v>
      </c>
      <c r="AA96" s="17">
        <f t="shared" si="210"/>
        <v>2.4260863337559835</v>
      </c>
      <c r="AB96" s="17">
        <f t="shared" si="211"/>
        <v>1.9402871470935334</v>
      </c>
      <c r="AD96" s="17">
        <f t="shared" si="212"/>
        <v>3.1120184532388295</v>
      </c>
      <c r="AE96" s="17">
        <f t="shared" si="213"/>
        <v>3.4637632258459394</v>
      </c>
      <c r="AF96" s="17">
        <f t="shared" si="214"/>
        <v>5.5554732930428896</v>
      </c>
      <c r="AH96" t="str">
        <f t="shared" si="247"/>
        <v>52 Skilled metal, electrical and electronic trades</v>
      </c>
      <c r="AI96" s="17">
        <f t="shared" si="215"/>
        <v>1.4922720793756783</v>
      </c>
      <c r="AJ96" s="17">
        <f t="shared" si="215"/>
        <v>-8.7568465618514395</v>
      </c>
      <c r="AK96" s="17">
        <f t="shared" si="215"/>
        <v>2.1451013253378282</v>
      </c>
      <c r="AL96" s="17">
        <f t="shared" si="215"/>
        <v>2.4836254551966919</v>
      </c>
      <c r="AM96" s="17">
        <f t="shared" si="216"/>
        <v>1.6370498609890483</v>
      </c>
      <c r="AO96" s="17">
        <f t="shared" si="217"/>
        <v>2.370659604109937</v>
      </c>
      <c r="AP96" s="17">
        <f t="shared" si="218"/>
        <v>2.9915468743439311</v>
      </c>
      <c r="AQ96" s="17">
        <f t="shared" si="219"/>
        <v>4.6493080777591844</v>
      </c>
      <c r="AS96" t="str">
        <f t="shared" si="248"/>
        <v>52 Skilled metal, electrical and electronic trades</v>
      </c>
      <c r="AT96" s="17">
        <f t="shared" si="220"/>
        <v>0.80069904593640384</v>
      </c>
      <c r="AU96" s="17">
        <f t="shared" si="220"/>
        <v>-9.4015583937816398</v>
      </c>
      <c r="AV96" s="17">
        <f t="shared" si="220"/>
        <v>1.8125251109974982</v>
      </c>
      <c r="AW96" s="17">
        <f t="shared" si="220"/>
        <v>1.9373622069329466</v>
      </c>
      <c r="AX96" s="17">
        <f t="shared" si="221"/>
        <v>1.1500944847151251</v>
      </c>
      <c r="AZ96" s="17">
        <f t="shared" si="222"/>
        <v>1.8957328432608334</v>
      </c>
      <c r="BA96" s="17">
        <f t="shared" si="223"/>
        <v>2.8655660250238579</v>
      </c>
      <c r="BB96" s="17">
        <f t="shared" si="224"/>
        <v>4.1982107177020556</v>
      </c>
      <c r="BD96" t="str">
        <f t="shared" si="249"/>
        <v>52 Skilled metal, electrical and electronic trades</v>
      </c>
      <c r="BE96" s="17">
        <f t="shared" si="225"/>
        <v>0.59894890171667825</v>
      </c>
      <c r="BF96" s="17">
        <f t="shared" si="225"/>
        <v>-10.365417606857264</v>
      </c>
      <c r="BG96" s="17">
        <f t="shared" si="225"/>
        <v>-0.63028743707841395</v>
      </c>
      <c r="BH96" s="17">
        <f t="shared" si="225"/>
        <v>-0.62819637152754515</v>
      </c>
      <c r="BI96" s="17">
        <f t="shared" si="226"/>
        <v>-1.2672819003930358</v>
      </c>
      <c r="BK96" s="17">
        <f t="shared" si="227"/>
        <v>-0.6288933982669942</v>
      </c>
      <c r="BL96" s="17">
        <f t="shared" si="228"/>
        <v>1.9141296724853651</v>
      </c>
      <c r="BM96" s="17">
        <f t="shared" si="229"/>
        <v>1.4372066500099923</v>
      </c>
      <c r="BO96" t="str">
        <f t="shared" si="250"/>
        <v>52 Skilled metal, electrical and electronic trades</v>
      </c>
      <c r="BP96" s="17">
        <f t="shared" si="230"/>
        <v>0.18386373371102049</v>
      </c>
      <c r="BQ96" s="17">
        <f t="shared" si="230"/>
        <v>-14.688081077635806</v>
      </c>
      <c r="BR96" s="17">
        <f t="shared" si="230"/>
        <v>-1.6436200099256615</v>
      </c>
      <c r="BS96" s="17">
        <f t="shared" si="230"/>
        <v>-2.0719194993769396</v>
      </c>
      <c r="BT96" s="17">
        <f t="shared" si="231"/>
        <v>-2.779930843830003</v>
      </c>
      <c r="BV96" s="17">
        <f t="shared" si="232"/>
        <v>-1.9293606337567493</v>
      </c>
      <c r="BW96" s="17">
        <f t="shared" si="233"/>
        <v>1.8517076401927568</v>
      </c>
      <c r="BX96" s="17">
        <f t="shared" si="234"/>
        <v>0.41071204221978519</v>
      </c>
      <c r="BZ96" t="str">
        <f t="shared" si="251"/>
        <v>52 Skilled metal, electrical and electronic trades</v>
      </c>
      <c r="CA96" s="17">
        <f t="shared" si="235"/>
        <v>-1.0332222404689673</v>
      </c>
      <c r="CB96" s="17">
        <f t="shared" si="235"/>
        <v>-17.325134498326644</v>
      </c>
      <c r="CC96" s="17">
        <f t="shared" si="235"/>
        <v>-1.5392645254920345</v>
      </c>
      <c r="CD96" s="17">
        <f t="shared" si="235"/>
        <v>-5.6162123115342188</v>
      </c>
      <c r="CE96" s="17">
        <f t="shared" si="236"/>
        <v>-5.1491055099635252</v>
      </c>
      <c r="CG96" s="17">
        <f t="shared" si="237"/>
        <v>-4.2763405356418644</v>
      </c>
      <c r="CH96" s="17">
        <f t="shared" si="238"/>
        <v>1.6811991072511079</v>
      </c>
      <c r="CI96" s="17">
        <f t="shared" si="239"/>
        <v>-1.449747090220066</v>
      </c>
      <c r="CK96" t="str">
        <f t="shared" si="252"/>
        <v>52 Skilled metal, electrical and electronic trades</v>
      </c>
      <c r="CL96" s="17">
        <f t="shared" si="240"/>
        <v>0.29388432290711197</v>
      </c>
      <c r="CM96" s="17">
        <f t="shared" si="240"/>
        <v>-21.38727965200896</v>
      </c>
      <c r="CN96" s="17">
        <f t="shared" si="240"/>
        <v>-2.0853672806029233</v>
      </c>
      <c r="CO96" s="17">
        <f t="shared" si="240"/>
        <v>-4.0780268049726898</v>
      </c>
      <c r="CP96" s="17">
        <f t="shared" si="241"/>
        <v>-4.6530091420537438</v>
      </c>
      <c r="CR96" s="17">
        <f t="shared" si="242"/>
        <v>-3.4183540521851907</v>
      </c>
      <c r="CS96" s="17">
        <f t="shared" si="243"/>
        <v>1.6123227620152614</v>
      </c>
      <c r="CT96" s="17">
        <f t="shared" si="244"/>
        <v>-0.96489422377402656</v>
      </c>
    </row>
    <row r="97" spans="1:98" x14ac:dyDescent="0.3">
      <c r="A97" t="str">
        <f t="shared" si="199"/>
        <v>53 Skilled construction and building trades</v>
      </c>
      <c r="B97" s="17">
        <f t="shared" si="200"/>
        <v>-6.1491860995244281</v>
      </c>
      <c r="C97" s="17">
        <f t="shared" si="200"/>
        <v>-26.553003040396938</v>
      </c>
      <c r="D97" s="17">
        <f t="shared" si="200"/>
        <v>13.266445482078426</v>
      </c>
      <c r="E97" s="17">
        <f t="shared" si="200"/>
        <v>2.6665898217098416</v>
      </c>
      <c r="F97" s="17">
        <f t="shared" si="201"/>
        <v>3.6748070044023251</v>
      </c>
      <c r="H97" s="17">
        <f t="shared" si="202"/>
        <v>6.0848048294469548</v>
      </c>
      <c r="I97" s="17">
        <f t="shared" si="203"/>
        <v>4.3568992992745192</v>
      </c>
      <c r="J97" s="17">
        <f t="shared" si="204"/>
        <v>8.3314737440202578</v>
      </c>
      <c r="L97" t="str">
        <f t="shared" si="245"/>
        <v>53 Skilled construction and building trades</v>
      </c>
      <c r="M97" s="17">
        <f t="shared" si="205"/>
        <v>4.3473393076788547</v>
      </c>
      <c r="N97" s="17">
        <f t="shared" si="205"/>
        <v>-16.974450303783485</v>
      </c>
      <c r="O97" s="17">
        <f t="shared" si="205"/>
        <v>9.0675903737960759</v>
      </c>
      <c r="P97" s="17">
        <f t="shared" si="205"/>
        <v>4.9870848761812914</v>
      </c>
      <c r="Q97" s="17">
        <f t="shared" si="206"/>
        <v>4.6985266347276067</v>
      </c>
      <c r="S97" s="17">
        <f t="shared" si="207"/>
        <v>6.3300025185712316</v>
      </c>
      <c r="T97" s="17">
        <f t="shared" si="208"/>
        <v>4.4529847890693031</v>
      </c>
      <c r="U97" s="17">
        <f t="shared" si="209"/>
        <v>8.5708778833115229</v>
      </c>
      <c r="W97" t="str">
        <f t="shared" si="246"/>
        <v>53 Skilled construction and building trades</v>
      </c>
      <c r="X97" s="17">
        <f t="shared" si="210"/>
        <v>-0.66631563980563691</v>
      </c>
      <c r="Y97" s="17">
        <f t="shared" si="210"/>
        <v>-12.036162701392294</v>
      </c>
      <c r="Z97" s="17">
        <f t="shared" si="210"/>
        <v>4.907557934448481</v>
      </c>
      <c r="AA97" s="17">
        <f t="shared" si="210"/>
        <v>1.7956291711843875</v>
      </c>
      <c r="AB97" s="17">
        <f t="shared" si="211"/>
        <v>1.8243942696339221</v>
      </c>
      <c r="AD97" s="17">
        <f t="shared" si="212"/>
        <v>2.8225443932708538</v>
      </c>
      <c r="AE97" s="17">
        <f t="shared" si="213"/>
        <v>3.6466917201280591</v>
      </c>
      <c r="AF97" s="17">
        <f t="shared" si="214"/>
        <v>5.4906436173801643</v>
      </c>
      <c r="AH97" t="str">
        <f t="shared" si="247"/>
        <v>53 Skilled construction and building trades</v>
      </c>
      <c r="AI97" s="17">
        <f t="shared" si="215"/>
        <v>2.490410963202061</v>
      </c>
      <c r="AJ97" s="17">
        <f t="shared" si="215"/>
        <v>-12.387706185985415</v>
      </c>
      <c r="AK97" s="17">
        <f t="shared" si="215"/>
        <v>4.4218345026608263</v>
      </c>
      <c r="AL97" s="17">
        <f t="shared" si="215"/>
        <v>2.0777801000676499</v>
      </c>
      <c r="AM97" s="17">
        <f t="shared" si="216"/>
        <v>1.8273902454209345</v>
      </c>
      <c r="AO97" s="17">
        <f t="shared" si="217"/>
        <v>2.8532258864291338</v>
      </c>
      <c r="AP97" s="17">
        <f t="shared" si="218"/>
        <v>3.7981650339707018</v>
      </c>
      <c r="AQ97" s="17">
        <f t="shared" si="219"/>
        <v>5.6303744860526583</v>
      </c>
      <c r="AS97" t="str">
        <f t="shared" si="248"/>
        <v>53 Skilled construction and building trades</v>
      </c>
      <c r="AT97" s="17">
        <f t="shared" si="220"/>
        <v>-0.41930246572136065</v>
      </c>
      <c r="AU97" s="17">
        <f t="shared" si="220"/>
        <v>-9.2579430434144854</v>
      </c>
      <c r="AV97" s="17">
        <f t="shared" si="220"/>
        <v>5.3172794680317992</v>
      </c>
      <c r="AW97" s="17">
        <f t="shared" si="220"/>
        <v>1.5759473126424783</v>
      </c>
      <c r="AX97" s="17">
        <f t="shared" si="221"/>
        <v>2.0089963297390545</v>
      </c>
      <c r="AZ97" s="17">
        <f t="shared" si="222"/>
        <v>2.8080523057082862</v>
      </c>
      <c r="BA97" s="17">
        <f t="shared" si="223"/>
        <v>3.8156269464963311</v>
      </c>
      <c r="BB97" s="17">
        <f t="shared" si="224"/>
        <v>5.6130246664578554</v>
      </c>
      <c r="BD97" t="str">
        <f t="shared" si="249"/>
        <v>53 Skilled construction and building trades</v>
      </c>
      <c r="BE97" s="17">
        <f t="shared" si="225"/>
        <v>-1.2687116853455138</v>
      </c>
      <c r="BF97" s="17">
        <f t="shared" si="225"/>
        <v>-12.242722069780875</v>
      </c>
      <c r="BG97" s="17">
        <f t="shared" si="225"/>
        <v>-2.2171870453091547E-2</v>
      </c>
      <c r="BH97" s="17">
        <f t="shared" si="225"/>
        <v>-1.1778792904639235</v>
      </c>
      <c r="BI97" s="17">
        <f t="shared" si="226"/>
        <v>-1.551532943370304</v>
      </c>
      <c r="BK97" s="17">
        <f t="shared" si="227"/>
        <v>-0.79413555725793561</v>
      </c>
      <c r="BL97" s="17">
        <f t="shared" si="228"/>
        <v>2.078896264491048</v>
      </c>
      <c r="BM97" s="17">
        <f t="shared" si="229"/>
        <v>1.4925020062968253</v>
      </c>
      <c r="BO97" t="str">
        <f t="shared" si="250"/>
        <v>53 Skilled construction and building trades</v>
      </c>
      <c r="BP97" s="17">
        <f t="shared" si="230"/>
        <v>1.4654459483338211</v>
      </c>
      <c r="BQ97" s="17">
        <f t="shared" si="230"/>
        <v>-16.178925022830239</v>
      </c>
      <c r="BR97" s="17">
        <f t="shared" si="230"/>
        <v>1.90740598434882</v>
      </c>
      <c r="BS97" s="17">
        <f t="shared" si="230"/>
        <v>-0.18725805191399658</v>
      </c>
      <c r="BT97" s="17">
        <f t="shared" si="231"/>
        <v>-0.62775213829128207</v>
      </c>
      <c r="BV97" s="17">
        <f t="shared" si="232"/>
        <v>0.50613517727196022</v>
      </c>
      <c r="BW97" s="17">
        <f t="shared" si="233"/>
        <v>2.6316934024157357</v>
      </c>
      <c r="BX97" s="17">
        <f t="shared" si="234"/>
        <v>2.987494581433392</v>
      </c>
      <c r="BZ97" t="str">
        <f t="shared" si="251"/>
        <v>53 Skilled construction and building trades</v>
      </c>
      <c r="CA97" s="17">
        <f t="shared" si="235"/>
        <v>-0.90736633532220168</v>
      </c>
      <c r="CB97" s="17">
        <f t="shared" si="235"/>
        <v>-18.299214797268082</v>
      </c>
      <c r="CC97" s="17">
        <f t="shared" si="235"/>
        <v>0.93515528143170989</v>
      </c>
      <c r="CD97" s="17">
        <f t="shared" si="235"/>
        <v>-0.81327966890781811</v>
      </c>
      <c r="CE97" s="17">
        <f t="shared" si="236"/>
        <v>-1.4717286754782788</v>
      </c>
      <c r="CG97" s="17">
        <f t="shared" si="237"/>
        <v>-0.23385941605084115</v>
      </c>
      <c r="CH97" s="17">
        <f t="shared" si="238"/>
        <v>2.2363866907461061</v>
      </c>
      <c r="CI97" s="17">
        <f t="shared" si="239"/>
        <v>2.0656001046607475</v>
      </c>
      <c r="CK97" t="str">
        <f t="shared" si="252"/>
        <v>53 Skilled construction and building trades</v>
      </c>
      <c r="CL97" s="17">
        <f t="shared" si="240"/>
        <v>-2.7210107402002137</v>
      </c>
      <c r="CM97" s="17">
        <f t="shared" si="240"/>
        <v>-24.343649194782525</v>
      </c>
      <c r="CN97" s="17">
        <f t="shared" si="240"/>
        <v>-5.9061180549831782</v>
      </c>
      <c r="CO97" s="17">
        <f t="shared" si="240"/>
        <v>-12.708786181615473</v>
      </c>
      <c r="CP97" s="17">
        <f t="shared" si="241"/>
        <v>-11.432914616316303</v>
      </c>
      <c r="CR97" s="17">
        <f t="shared" si="242"/>
        <v>-10.497709350091844</v>
      </c>
      <c r="CS97" s="17">
        <f t="shared" si="243"/>
        <v>1.0057253594871085</v>
      </c>
      <c r="CT97" s="17">
        <f t="shared" si="244"/>
        <v>-6.7344429239254104</v>
      </c>
    </row>
    <row r="98" spans="1:98" x14ac:dyDescent="0.3">
      <c r="A98" t="str">
        <f t="shared" si="199"/>
        <v>54 Textiles, printing and other skilled trades</v>
      </c>
      <c r="B98" s="17">
        <f t="shared" si="200"/>
        <v>1.913358374120433</v>
      </c>
      <c r="C98" s="17">
        <f t="shared" si="200"/>
        <v>-1.2412055791846011</v>
      </c>
      <c r="D98" s="17">
        <f t="shared" si="200"/>
        <v>7.1032746080564424</v>
      </c>
      <c r="E98" s="17">
        <f t="shared" si="200"/>
        <v>4.1795031480824418</v>
      </c>
      <c r="F98" s="17">
        <f t="shared" si="201"/>
        <v>4.7341401450201603</v>
      </c>
      <c r="H98" s="17">
        <f t="shared" si="202"/>
        <v>5.1451159679313241</v>
      </c>
      <c r="I98" s="17">
        <f t="shared" si="203"/>
        <v>4.0927286240730387</v>
      </c>
      <c r="J98" s="17">
        <f t="shared" si="204"/>
        <v>7.4727007142012525</v>
      </c>
      <c r="L98" t="str">
        <f t="shared" si="245"/>
        <v>54 Textiles, printing and other skilled trades</v>
      </c>
      <c r="M98" s="17">
        <f t="shared" si="205"/>
        <v>5.5686027514313619</v>
      </c>
      <c r="N98" s="17">
        <f t="shared" si="205"/>
        <v>2.9656330050343405</v>
      </c>
      <c r="O98" s="17">
        <f t="shared" si="205"/>
        <v>7.6040390223591547</v>
      </c>
      <c r="P98" s="17">
        <f t="shared" si="205"/>
        <v>5.6223377586942291</v>
      </c>
      <c r="Q98" s="17">
        <f t="shared" si="206"/>
        <v>6.0686538823962355</v>
      </c>
      <c r="S98" s="17">
        <f t="shared" si="207"/>
        <v>6.278816158895828</v>
      </c>
      <c r="T98" s="17">
        <f t="shared" si="208"/>
        <v>4.5266646498954399</v>
      </c>
      <c r="U98" s="17">
        <f t="shared" si="209"/>
        <v>8.5758719802652816</v>
      </c>
      <c r="W98" t="str">
        <f t="shared" si="246"/>
        <v>54 Textiles, printing and other skilled trades</v>
      </c>
      <c r="X98" s="17">
        <f t="shared" si="210"/>
        <v>0.25897221399149295</v>
      </c>
      <c r="Y98" s="17">
        <f t="shared" si="210"/>
        <v>-1.4406557109274187</v>
      </c>
      <c r="Z98" s="17">
        <f t="shared" si="210"/>
        <v>4.09887689411641</v>
      </c>
      <c r="AA98" s="17">
        <f t="shared" si="210"/>
        <v>2.4792859839353643</v>
      </c>
      <c r="AB98" s="17">
        <f t="shared" si="211"/>
        <v>2.731956301854721</v>
      </c>
      <c r="AD98" s="17">
        <f t="shared" si="212"/>
        <v>3.016330315004212</v>
      </c>
      <c r="AE98" s="17">
        <f t="shared" si="213"/>
        <v>3.7550754394899633</v>
      </c>
      <c r="AF98" s="17">
        <f t="shared" si="214"/>
        <v>5.7099039021334397</v>
      </c>
      <c r="AH98" t="str">
        <f t="shared" si="247"/>
        <v>54 Textiles, printing and other skilled trades</v>
      </c>
      <c r="AI98" s="17">
        <f t="shared" si="215"/>
        <v>-0.90935355192270917</v>
      </c>
      <c r="AJ98" s="17">
        <f t="shared" si="215"/>
        <v>5.7665753815534293</v>
      </c>
      <c r="AK98" s="17">
        <f t="shared" si="215"/>
        <v>1.525143723603728</v>
      </c>
      <c r="AL98" s="17">
        <f t="shared" si="215"/>
        <v>2.1300493362530482</v>
      </c>
      <c r="AM98" s="17">
        <f t="shared" si="216"/>
        <v>2.1637898996598848</v>
      </c>
      <c r="AO98" s="17">
        <f t="shared" si="217"/>
        <v>1.9280147288506688</v>
      </c>
      <c r="AP98" s="17">
        <f t="shared" si="218"/>
        <v>3.4268812051138076</v>
      </c>
      <c r="AQ98" s="17">
        <f t="shared" si="219"/>
        <v>4.6922243498461969</v>
      </c>
      <c r="AS98" t="str">
        <f t="shared" si="248"/>
        <v>54 Textiles, printing and other skilled trades</v>
      </c>
      <c r="AT98" s="17">
        <f t="shared" si="220"/>
        <v>-0.95006360635738751</v>
      </c>
      <c r="AU98" s="17">
        <f t="shared" si="220"/>
        <v>1.7739370373893948</v>
      </c>
      <c r="AV98" s="17">
        <f t="shared" si="220"/>
        <v>3.0535571052619392</v>
      </c>
      <c r="AW98" s="17">
        <f t="shared" si="220"/>
        <v>1.8800085566795799</v>
      </c>
      <c r="AX98" s="17">
        <f t="shared" si="221"/>
        <v>2.2386431944302121</v>
      </c>
      <c r="AZ98" s="17">
        <f t="shared" si="222"/>
        <v>2.269698942490761</v>
      </c>
      <c r="BA98" s="17">
        <f t="shared" si="223"/>
        <v>3.4744522224031016</v>
      </c>
      <c r="BB98" s="17">
        <f t="shared" si="224"/>
        <v>4.9678603821720291</v>
      </c>
      <c r="BD98" t="str">
        <f t="shared" si="249"/>
        <v>54 Textiles, printing and other skilled trades</v>
      </c>
      <c r="BE98" s="17">
        <f t="shared" si="225"/>
        <v>-1.5455281431276835</v>
      </c>
      <c r="BF98" s="17">
        <f t="shared" si="225"/>
        <v>-4.5740106973347956</v>
      </c>
      <c r="BG98" s="17">
        <f t="shared" si="225"/>
        <v>1.0390252575226633</v>
      </c>
      <c r="BH98" s="17">
        <f t="shared" si="225"/>
        <v>0.16527498842593413</v>
      </c>
      <c r="BI98" s="17">
        <f t="shared" si="226"/>
        <v>0.13370092789328769</v>
      </c>
      <c r="BK98" s="17">
        <f t="shared" si="227"/>
        <v>0.45568229197021637</v>
      </c>
      <c r="BL98" s="17">
        <f t="shared" si="228"/>
        <v>2.4260834861389524</v>
      </c>
      <c r="BM98" s="17">
        <f t="shared" si="229"/>
        <v>2.7549595889101886</v>
      </c>
      <c r="BO98" t="str">
        <f t="shared" si="250"/>
        <v>54 Textiles, printing and other skilled trades</v>
      </c>
      <c r="BP98" s="17">
        <f t="shared" si="230"/>
        <v>-3.8318582804817369</v>
      </c>
      <c r="BQ98" s="17">
        <f t="shared" si="230"/>
        <v>-6.2695132706766739</v>
      </c>
      <c r="BR98" s="17">
        <f t="shared" si="230"/>
        <v>-2.7150290666391075</v>
      </c>
      <c r="BS98" s="17">
        <f t="shared" si="230"/>
        <v>-1.5341715593197525</v>
      </c>
      <c r="BT98" s="17">
        <f t="shared" si="231"/>
        <v>-2.2064268641018292</v>
      </c>
      <c r="BV98" s="17">
        <f t="shared" si="232"/>
        <v>-1.9293747971916853</v>
      </c>
      <c r="BW98" s="17">
        <f t="shared" si="233"/>
        <v>1.9136305092880335</v>
      </c>
      <c r="BX98" s="17">
        <f t="shared" si="234"/>
        <v>0.48621957194556753</v>
      </c>
      <c r="BZ98" t="str">
        <f t="shared" si="251"/>
        <v>54 Textiles, printing and other skilled trades</v>
      </c>
      <c r="CA98" s="17">
        <f t="shared" si="235"/>
        <v>-2.5512210891884046</v>
      </c>
      <c r="CB98" s="17">
        <f t="shared" si="235"/>
        <v>-8.4909853284221626</v>
      </c>
      <c r="CC98" s="17">
        <f t="shared" si="235"/>
        <v>-0.61155545736923944</v>
      </c>
      <c r="CD98" s="17">
        <f t="shared" si="235"/>
        <v>-2.5005418039128147</v>
      </c>
      <c r="CE98" s="17">
        <f t="shared" si="236"/>
        <v>-2.302075932007841</v>
      </c>
      <c r="CG98" s="17">
        <f t="shared" si="237"/>
        <v>-1.8749029032656517</v>
      </c>
      <c r="CH98" s="17">
        <f t="shared" si="238"/>
        <v>1.8579251852839818</v>
      </c>
      <c r="CI98" s="17">
        <f t="shared" si="239"/>
        <v>0.45745122170033348</v>
      </c>
      <c r="CK98" t="str">
        <f t="shared" si="252"/>
        <v>54 Textiles, printing and other skilled trades</v>
      </c>
      <c r="CL98" s="17">
        <f t="shared" si="240"/>
        <v>-4.4663670300728491</v>
      </c>
      <c r="CM98" s="17">
        <f t="shared" si="240"/>
        <v>-13.849026134819331</v>
      </c>
      <c r="CN98" s="17">
        <f t="shared" si="240"/>
        <v>-7.2857733507734279</v>
      </c>
      <c r="CO98" s="17">
        <f t="shared" si="240"/>
        <v>-4.0590926916426291</v>
      </c>
      <c r="CP98" s="17">
        <f t="shared" si="241"/>
        <v>-5.7156971881692993</v>
      </c>
      <c r="CR98" s="17">
        <f t="shared" si="242"/>
        <v>-5.1469411147747834</v>
      </c>
      <c r="CS98" s="17">
        <f t="shared" si="243"/>
        <v>1.183765089886446</v>
      </c>
      <c r="CT98" s="17">
        <f t="shared" si="244"/>
        <v>-2.8738398200745863</v>
      </c>
    </row>
    <row r="99" spans="1:98" x14ac:dyDescent="0.3">
      <c r="A99" t="str">
        <f t="shared" si="199"/>
        <v>61 Caring personal service occupations</v>
      </c>
      <c r="B99" s="17">
        <f t="shared" si="200"/>
        <v>5.1820701990914708</v>
      </c>
      <c r="C99" s="17">
        <f t="shared" si="200"/>
        <v>-1.0864249961755279</v>
      </c>
      <c r="D99" s="17">
        <f t="shared" si="200"/>
        <v>8.9896829156420388</v>
      </c>
      <c r="E99" s="17">
        <f t="shared" si="200"/>
        <v>5.2272819569301632</v>
      </c>
      <c r="F99" s="17">
        <f t="shared" si="201"/>
        <v>5.9782266568329856</v>
      </c>
      <c r="H99" s="17">
        <f t="shared" si="202"/>
        <v>6.4667584412635648</v>
      </c>
      <c r="I99" s="17">
        <f t="shared" si="203"/>
        <v>4.7172900942448637</v>
      </c>
      <c r="J99" s="17">
        <f t="shared" si="204"/>
        <v>8.8262555096605855</v>
      </c>
      <c r="L99" t="str">
        <f t="shared" si="245"/>
        <v>61 Caring personal service occupations</v>
      </c>
      <c r="M99" s="17">
        <f t="shared" si="205"/>
        <v>8.1763711633941369</v>
      </c>
      <c r="N99" s="17">
        <f t="shared" si="205"/>
        <v>-1.3874912228960201</v>
      </c>
      <c r="O99" s="17">
        <f t="shared" si="205"/>
        <v>7.7887989186628426</v>
      </c>
      <c r="P99" s="17">
        <f t="shared" si="205"/>
        <v>4.9701282904760946</v>
      </c>
      <c r="Q99" s="17">
        <f t="shared" si="206"/>
        <v>5.4304574012366436</v>
      </c>
      <c r="S99" s="17">
        <f t="shared" si="207"/>
        <v>5.9013987201905094</v>
      </c>
      <c r="T99" s="17">
        <f t="shared" si="208"/>
        <v>4.7447251311612204</v>
      </c>
      <c r="U99" s="17">
        <f t="shared" si="209"/>
        <v>8.4315809091123342</v>
      </c>
      <c r="W99" t="str">
        <f t="shared" si="246"/>
        <v>61 Caring personal service occupations</v>
      </c>
      <c r="X99" s="17">
        <f t="shared" si="210"/>
        <v>2.8525803061359323</v>
      </c>
      <c r="Y99" s="17">
        <f t="shared" si="210"/>
        <v>2.1134393014380137</v>
      </c>
      <c r="Z99" s="17">
        <f t="shared" si="210"/>
        <v>3.4745869594227541</v>
      </c>
      <c r="AA99" s="17">
        <f t="shared" si="210"/>
        <v>2.1060027261464942</v>
      </c>
      <c r="AB99" s="17">
        <f t="shared" si="211"/>
        <v>2.5321961946990657</v>
      </c>
      <c r="AD99" s="17">
        <f t="shared" si="212"/>
        <v>2.5601743020029932</v>
      </c>
      <c r="AE99" s="17">
        <f t="shared" si="213"/>
        <v>4.0901403233838174</v>
      </c>
      <c r="AF99" s="17">
        <f t="shared" si="214"/>
        <v>5.6655472717444422</v>
      </c>
      <c r="AH99" t="str">
        <f t="shared" si="247"/>
        <v>61 Caring personal service occupations</v>
      </c>
      <c r="AI99" s="17">
        <f t="shared" si="215"/>
        <v>-0.28057924928628353</v>
      </c>
      <c r="AJ99" s="17">
        <f t="shared" si="215"/>
        <v>2.3870043826272225</v>
      </c>
      <c r="AK99" s="17">
        <f t="shared" si="215"/>
        <v>1.011443748994334</v>
      </c>
      <c r="AL99" s="17">
        <f t="shared" si="215"/>
        <v>0.53595555213987733</v>
      </c>
      <c r="AM99" s="17">
        <f t="shared" si="216"/>
        <v>0.7991777299325209</v>
      </c>
      <c r="AO99" s="17">
        <f t="shared" si="217"/>
        <v>0.69420240140383171</v>
      </c>
      <c r="AP99" s="17">
        <f t="shared" si="218"/>
        <v>3.3208170066699072</v>
      </c>
      <c r="AQ99" s="17">
        <f t="shared" si="219"/>
        <v>3.7683913740737429</v>
      </c>
      <c r="AS99" t="str">
        <f t="shared" si="248"/>
        <v>61 Caring personal service occupations</v>
      </c>
      <c r="AT99" s="17">
        <f t="shared" si="220"/>
        <v>1.9359037307685734</v>
      </c>
      <c r="AU99" s="17">
        <f t="shared" si="220"/>
        <v>2.96861301806155</v>
      </c>
      <c r="AV99" s="17">
        <f t="shared" si="220"/>
        <v>1.4715223624460094</v>
      </c>
      <c r="AW99" s="17">
        <f t="shared" si="220"/>
        <v>1.110361344550026</v>
      </c>
      <c r="AX99" s="17">
        <f t="shared" si="221"/>
        <v>1.3383661467947228</v>
      </c>
      <c r="AZ99" s="17">
        <f t="shared" si="222"/>
        <v>1.2306052955492808</v>
      </c>
      <c r="BA99" s="17">
        <f t="shared" si="223"/>
        <v>3.4862599376954684</v>
      </c>
      <c r="BB99" s="17">
        <f t="shared" si="224"/>
        <v>4.2737947878980442</v>
      </c>
      <c r="BD99" t="str">
        <f t="shared" si="249"/>
        <v>61 Caring personal service occupations</v>
      </c>
      <c r="BE99" s="17">
        <f t="shared" si="225"/>
        <v>2.6857972923259199</v>
      </c>
      <c r="BF99" s="17">
        <f t="shared" si="225"/>
        <v>-0.90601767265360289</v>
      </c>
      <c r="BG99" s="17">
        <f t="shared" si="225"/>
        <v>2.2129182791752022</v>
      </c>
      <c r="BH99" s="17">
        <f t="shared" si="225"/>
        <v>1.4187573153912059</v>
      </c>
      <c r="BI99" s="17">
        <f t="shared" si="226"/>
        <v>1.5190258871097262</v>
      </c>
      <c r="BK99" s="17">
        <f t="shared" si="227"/>
        <v>1.6827896615835503</v>
      </c>
      <c r="BL99" s="17">
        <f t="shared" si="228"/>
        <v>3.3873466120817985</v>
      </c>
      <c r="BM99" s="17">
        <f t="shared" si="229"/>
        <v>4.490472697583181</v>
      </c>
      <c r="BO99" t="str">
        <f t="shared" si="250"/>
        <v>61 Caring personal service occupations</v>
      </c>
      <c r="BP99" s="17">
        <f t="shared" si="230"/>
        <v>-0.26320607969116949</v>
      </c>
      <c r="BQ99" s="17">
        <f t="shared" si="230"/>
        <v>-9.5917085463341998</v>
      </c>
      <c r="BR99" s="17">
        <f t="shared" si="230"/>
        <v>-1.8777321700857996E-3</v>
      </c>
      <c r="BS99" s="17">
        <f t="shared" si="230"/>
        <v>-2.1219612535305465</v>
      </c>
      <c r="BT99" s="17">
        <f t="shared" si="231"/>
        <v>-1.9519965628992386</v>
      </c>
      <c r="BV99" s="17">
        <f t="shared" si="232"/>
        <v>-1.4203086616269567</v>
      </c>
      <c r="BW99" s="17">
        <f t="shared" si="233"/>
        <v>2.5518179661588203</v>
      </c>
      <c r="BX99" s="17">
        <f t="shared" si="234"/>
        <v>1.5859397706590395</v>
      </c>
      <c r="BZ99" t="str">
        <f t="shared" si="251"/>
        <v>61 Caring personal service occupations</v>
      </c>
      <c r="CA99" s="17">
        <f t="shared" si="235"/>
        <v>-12.114457614568586</v>
      </c>
      <c r="CB99" s="17">
        <f t="shared" si="235"/>
        <v>-15.511266665692492</v>
      </c>
      <c r="CC99" s="17">
        <f t="shared" si="235"/>
        <v>-5.8635654379265656</v>
      </c>
      <c r="CD99" s="17">
        <f t="shared" si="235"/>
        <v>-1.7418196117710227</v>
      </c>
      <c r="CE99" s="17">
        <f t="shared" si="236"/>
        <v>-3.959443325398837</v>
      </c>
      <c r="CG99" s="17">
        <f t="shared" si="237"/>
        <v>-3.1354065634877082</v>
      </c>
      <c r="CH99" s="17">
        <f t="shared" si="238"/>
        <v>1.3947408128811567</v>
      </c>
      <c r="CI99" s="17">
        <f t="shared" si="239"/>
        <v>-1.0695096765760637</v>
      </c>
      <c r="CK99" t="str">
        <f t="shared" si="252"/>
        <v>61 Caring personal service occupations</v>
      </c>
      <c r="CL99" s="17">
        <f t="shared" si="240"/>
        <v>-3.8474491117021503</v>
      </c>
      <c r="CM99" s="17">
        <f t="shared" si="240"/>
        <v>-11.311173839480638</v>
      </c>
      <c r="CN99" s="17">
        <f t="shared" si="240"/>
        <v>1.7319147246529276</v>
      </c>
      <c r="CO99" s="17">
        <f t="shared" si="240"/>
        <v>1.0417258026040876E-2</v>
      </c>
      <c r="CP99" s="17">
        <f t="shared" si="241"/>
        <v>-0.20691192332183972</v>
      </c>
      <c r="CR99" s="17">
        <f t="shared" si="242"/>
        <v>0.58098838154707622</v>
      </c>
      <c r="CS99" s="17">
        <f t="shared" si="243"/>
        <v>1.7882145589747989</v>
      </c>
      <c r="CT99" s="17">
        <f t="shared" si="244"/>
        <v>2.2457593572364765</v>
      </c>
    </row>
    <row r="100" spans="1:98" x14ac:dyDescent="0.3">
      <c r="A100" t="str">
        <f t="shared" si="199"/>
        <v>62 Leisure, travel and related personal service occupations</v>
      </c>
      <c r="B100" s="17">
        <f t="shared" si="200"/>
        <v>11.034033142550893</v>
      </c>
      <c r="C100" s="17">
        <f t="shared" si="200"/>
        <v>2.7895570198378072</v>
      </c>
      <c r="D100" s="17">
        <f t="shared" si="200"/>
        <v>7.3829174707625622</v>
      </c>
      <c r="E100" s="17">
        <f t="shared" si="200"/>
        <v>5.1738967072237907</v>
      </c>
      <c r="F100" s="17">
        <f t="shared" si="201"/>
        <v>5.7076796552539388</v>
      </c>
      <c r="H100" s="17">
        <f t="shared" si="202"/>
        <v>5.9051410439748153</v>
      </c>
      <c r="I100" s="17">
        <f t="shared" si="203"/>
        <v>4.5029370574039884</v>
      </c>
      <c r="J100" s="17">
        <f t="shared" si="204"/>
        <v>8.2863277991112483</v>
      </c>
      <c r="L100" t="str">
        <f t="shared" si="245"/>
        <v>62 Leisure, travel and related personal service occupations</v>
      </c>
      <c r="M100" s="17">
        <f t="shared" si="205"/>
        <v>7.4667015294501926</v>
      </c>
      <c r="N100" s="17">
        <f t="shared" si="205"/>
        <v>-9.4314191354192509</v>
      </c>
      <c r="O100" s="17">
        <f t="shared" si="205"/>
        <v>6.6639611653362518</v>
      </c>
      <c r="P100" s="17">
        <f t="shared" si="205"/>
        <v>4.9434961414936751</v>
      </c>
      <c r="Q100" s="17">
        <f t="shared" si="206"/>
        <v>4.5114412063610665</v>
      </c>
      <c r="S100" s="17">
        <f t="shared" si="207"/>
        <v>5.5138787567792225</v>
      </c>
      <c r="T100" s="17">
        <f t="shared" si="208"/>
        <v>4.4003075366837674</v>
      </c>
      <c r="U100" s="17">
        <f t="shared" si="209"/>
        <v>7.937304454350036</v>
      </c>
      <c r="W100" t="str">
        <f t="shared" si="246"/>
        <v>62 Leisure, travel and related personal service occupations</v>
      </c>
      <c r="X100" s="17">
        <f t="shared" si="210"/>
        <v>5.1346671938903965</v>
      </c>
      <c r="Y100" s="17">
        <f t="shared" si="210"/>
        <v>-4.9299598685424995</v>
      </c>
      <c r="Z100" s="17">
        <f t="shared" si="210"/>
        <v>4.1827564613295731</v>
      </c>
      <c r="AA100" s="17">
        <f t="shared" si="210"/>
        <v>3.1207235628402108</v>
      </c>
      <c r="AB100" s="17">
        <f t="shared" si="211"/>
        <v>2.927198168128653</v>
      </c>
      <c r="AD100" s="17">
        <f t="shared" si="212"/>
        <v>3.4735261240343318</v>
      </c>
      <c r="AE100" s="17">
        <f t="shared" si="213"/>
        <v>4.1168209569395042</v>
      </c>
      <c r="AF100" s="17">
        <f t="shared" si="214"/>
        <v>6.3003418707810344</v>
      </c>
      <c r="AH100" t="str">
        <f t="shared" si="247"/>
        <v>62 Leisure, travel and related personal service occupations</v>
      </c>
      <c r="AI100" s="17">
        <f t="shared" si="215"/>
        <v>5.3703064417076618</v>
      </c>
      <c r="AJ100" s="17">
        <f t="shared" si="215"/>
        <v>-2.5951378427360949</v>
      </c>
      <c r="AK100" s="17">
        <f t="shared" si="215"/>
        <v>2.7572765060877691</v>
      </c>
      <c r="AL100" s="17">
        <f t="shared" si="215"/>
        <v>2.9643558973821538</v>
      </c>
      <c r="AM100" s="17">
        <f t="shared" si="216"/>
        <v>2.5432409580834703</v>
      </c>
      <c r="AO100" s="17">
        <f t="shared" si="217"/>
        <v>2.8952831070663265</v>
      </c>
      <c r="AP100" s="17">
        <f t="shared" si="218"/>
        <v>3.9635442057239567</v>
      </c>
      <c r="AQ100" s="17">
        <f t="shared" si="219"/>
        <v>5.7886508489456201</v>
      </c>
      <c r="AS100" t="str">
        <f t="shared" si="248"/>
        <v>62 Leisure, travel and related personal service occupations</v>
      </c>
      <c r="AT100" s="17">
        <f t="shared" si="220"/>
        <v>5.7437117154001571</v>
      </c>
      <c r="AU100" s="17">
        <f t="shared" si="220"/>
        <v>5.0510905276968554</v>
      </c>
      <c r="AV100" s="17">
        <f t="shared" si="220"/>
        <v>3.4636443122775029</v>
      </c>
      <c r="AW100" s="17">
        <f t="shared" si="220"/>
        <v>3.4417611705263695</v>
      </c>
      <c r="AX100" s="17">
        <f t="shared" si="221"/>
        <v>3.5484626024441912</v>
      </c>
      <c r="AZ100" s="17">
        <f t="shared" si="222"/>
        <v>3.4490550367942463</v>
      </c>
      <c r="BA100" s="17">
        <f t="shared" si="223"/>
        <v>4.1202393416063465</v>
      </c>
      <c r="BB100" s="17">
        <f t="shared" si="224"/>
        <v>6.286133877927802</v>
      </c>
      <c r="BD100" t="str">
        <f t="shared" si="249"/>
        <v>62 Leisure, travel and related personal service occupations</v>
      </c>
      <c r="BE100" s="17">
        <f t="shared" si="225"/>
        <v>1.0956095772592711</v>
      </c>
      <c r="BF100" s="17">
        <f t="shared" si="225"/>
        <v>-6.6199537002933129</v>
      </c>
      <c r="BG100" s="17">
        <f t="shared" si="225"/>
        <v>-0.58446381083234744</v>
      </c>
      <c r="BH100" s="17">
        <f t="shared" si="225"/>
        <v>-0.67818148301448389</v>
      </c>
      <c r="BI100" s="17">
        <f t="shared" si="226"/>
        <v>-1.0312123132217854</v>
      </c>
      <c r="BK100" s="17">
        <f t="shared" si="227"/>
        <v>-0.64695207933248566</v>
      </c>
      <c r="BL100" s="17">
        <f t="shared" si="228"/>
        <v>2.4254774138764645</v>
      </c>
      <c r="BM100" s="17">
        <f t="shared" si="229"/>
        <v>1.9693491651614936</v>
      </c>
      <c r="BO100" t="str">
        <f t="shared" si="250"/>
        <v>62 Leisure, travel and related personal service occupations</v>
      </c>
      <c r="BP100" s="17">
        <f t="shared" si="230"/>
        <v>0.66009406914848689</v>
      </c>
      <c r="BQ100" s="17">
        <f t="shared" si="230"/>
        <v>-11.961967654658146</v>
      </c>
      <c r="BR100" s="17">
        <f t="shared" si="230"/>
        <v>-1.8907586111087338</v>
      </c>
      <c r="BS100" s="17">
        <f t="shared" si="230"/>
        <v>-2.3866290336726492</v>
      </c>
      <c r="BT100" s="17">
        <f t="shared" si="231"/>
        <v>-2.8607907038560199</v>
      </c>
      <c r="BV100" s="17">
        <f t="shared" si="232"/>
        <v>-2.221617993784919</v>
      </c>
      <c r="BW100" s="17">
        <f t="shared" si="233"/>
        <v>2.2478731273740005</v>
      </c>
      <c r="BX100" s="17">
        <f t="shared" si="234"/>
        <v>0.69622352254317121</v>
      </c>
      <c r="BZ100" t="str">
        <f t="shared" si="251"/>
        <v>62 Leisure, travel and related personal service occupations</v>
      </c>
      <c r="CA100" s="17">
        <f t="shared" si="235"/>
        <v>1.7904086578643952</v>
      </c>
      <c r="CB100" s="17">
        <f t="shared" si="235"/>
        <v>-12.105840817957237</v>
      </c>
      <c r="CC100" s="17">
        <f t="shared" si="235"/>
        <v>-0.48623151217354055</v>
      </c>
      <c r="CD100" s="17">
        <f t="shared" si="235"/>
        <v>-2.4899014752595372</v>
      </c>
      <c r="CE100" s="17">
        <f t="shared" si="236"/>
        <v>-2.5028345563127163</v>
      </c>
      <c r="CG100" s="17">
        <f t="shared" si="237"/>
        <v>-1.826534644312594</v>
      </c>
      <c r="CH100" s="17">
        <f t="shared" si="238"/>
        <v>2.121673039612948</v>
      </c>
      <c r="CI100" s="17">
        <f t="shared" si="239"/>
        <v>0.809636397261837</v>
      </c>
      <c r="CK100" t="str">
        <f t="shared" si="252"/>
        <v>62 Leisure, travel and related personal service occupations</v>
      </c>
      <c r="CL100" s="17">
        <f t="shared" si="240"/>
        <v>-2.5863795190839367</v>
      </c>
      <c r="CM100" s="17">
        <f t="shared" si="240"/>
        <v>-15.908194584560354</v>
      </c>
      <c r="CN100" s="17">
        <f t="shared" si="240"/>
        <v>-4.1490691027585624</v>
      </c>
      <c r="CO100" s="17">
        <f t="shared" si="240"/>
        <v>-3.2231410855611764</v>
      </c>
      <c r="CP100" s="17">
        <f t="shared" si="241"/>
        <v>-4.3570064297852262</v>
      </c>
      <c r="CR100" s="17">
        <f t="shared" si="242"/>
        <v>-3.5327733529543437</v>
      </c>
      <c r="CS100" s="17">
        <f t="shared" si="243"/>
        <v>1.4261130427851931</v>
      </c>
      <c r="CT100" s="17">
        <f t="shared" si="244"/>
        <v>-1.3167978426907423</v>
      </c>
    </row>
    <row r="101" spans="1:98" x14ac:dyDescent="0.3">
      <c r="A101" t="str">
        <f t="shared" si="199"/>
        <v>63 Community and civil enforcement occupations</v>
      </c>
      <c r="B101" s="17">
        <f t="shared" si="200"/>
        <v>2.5112046193745519</v>
      </c>
      <c r="C101" s="17">
        <f t="shared" si="200"/>
        <v>10.368276912095364</v>
      </c>
      <c r="D101" s="17">
        <f t="shared" si="200"/>
        <v>5.376963043160643</v>
      </c>
      <c r="E101" s="17">
        <f t="shared" si="200"/>
        <v>4.9775536164631262</v>
      </c>
      <c r="F101" s="17">
        <f t="shared" si="201"/>
        <v>5.4316663664397469</v>
      </c>
      <c r="H101" s="17">
        <f t="shared" si="202"/>
        <v>5.1105215993488162</v>
      </c>
      <c r="I101" s="17">
        <f t="shared" si="203"/>
        <v>4.2261871286964681</v>
      </c>
      <c r="J101" s="17">
        <f t="shared" si="204"/>
        <v>7.5331508104714118</v>
      </c>
      <c r="L101" t="str">
        <f t="shared" si="245"/>
        <v>63 Community and civil enforcement occupations</v>
      </c>
      <c r="M101" s="17">
        <f t="shared" si="205"/>
        <v>0.93646871835757484</v>
      </c>
      <c r="N101" s="17">
        <f t="shared" si="205"/>
        <v>36.119886243179607</v>
      </c>
      <c r="O101" s="17">
        <f t="shared" si="205"/>
        <v>1.4865903103119971</v>
      </c>
      <c r="P101" s="17">
        <f t="shared" si="205"/>
        <v>5.3569119205260307</v>
      </c>
      <c r="Q101" s="17">
        <f t="shared" si="206"/>
        <v>5.8125548949201633</v>
      </c>
      <c r="S101" s="17">
        <f t="shared" si="207"/>
        <v>4.0506766912565606</v>
      </c>
      <c r="T101" s="17">
        <f t="shared" si="208"/>
        <v>3.6525623196618895</v>
      </c>
      <c r="U101" s="17">
        <f t="shared" si="209"/>
        <v>6.3749884151070191</v>
      </c>
      <c r="W101" t="str">
        <f t="shared" si="246"/>
        <v>63 Community and civil enforcement occupations</v>
      </c>
      <c r="X101" s="17">
        <f t="shared" si="210"/>
        <v>0.92823567053625933</v>
      </c>
      <c r="Y101" s="17">
        <f t="shared" si="210"/>
        <v>15.115049006447778</v>
      </c>
      <c r="Z101" s="17">
        <f t="shared" si="210"/>
        <v>1.6672172808030572</v>
      </c>
      <c r="AA101" s="17">
        <f t="shared" si="210"/>
        <v>2.141847167552724</v>
      </c>
      <c r="AB101" s="17">
        <f t="shared" si="211"/>
        <v>2.7583486263543122</v>
      </c>
      <c r="AD101" s="17">
        <f t="shared" si="212"/>
        <v>1.9833915155031079</v>
      </c>
      <c r="AE101" s="17">
        <f t="shared" si="213"/>
        <v>3.8230580903222622</v>
      </c>
      <c r="AF101" s="17">
        <f t="shared" si="214"/>
        <v>5.0643138456583747</v>
      </c>
      <c r="AH101" t="str">
        <f t="shared" si="247"/>
        <v>63 Community and civil enforcement occupations</v>
      </c>
      <c r="AI101" s="17">
        <f t="shared" si="215"/>
        <v>-1.2610016779060818</v>
      </c>
      <c r="AJ101" s="17">
        <f t="shared" si="215"/>
        <v>35.433298282259649</v>
      </c>
      <c r="AK101" s="17">
        <f t="shared" si="215"/>
        <v>-2.4895372919640946</v>
      </c>
      <c r="AL101" s="17">
        <f t="shared" si="215"/>
        <v>2.0547610013343265</v>
      </c>
      <c r="AM101" s="17">
        <f t="shared" si="216"/>
        <v>2.407588646060943</v>
      </c>
      <c r="AO101" s="17">
        <f t="shared" si="217"/>
        <v>0.51693846241154251</v>
      </c>
      <c r="AP101" s="17">
        <f t="shared" si="218"/>
        <v>3.0685291735336628</v>
      </c>
      <c r="AQ101" s="17">
        <f t="shared" si="219"/>
        <v>3.4115424751904655</v>
      </c>
      <c r="AS101" t="str">
        <f t="shared" si="248"/>
        <v>63 Community and civil enforcement occupations</v>
      </c>
      <c r="AT101" s="17">
        <f t="shared" si="220"/>
        <v>-3.4638603062341677</v>
      </c>
      <c r="AU101" s="17">
        <f t="shared" si="220"/>
        <v>29.301161832619329</v>
      </c>
      <c r="AV101" s="17">
        <f t="shared" si="220"/>
        <v>-4.2478884200376932</v>
      </c>
      <c r="AW101" s="17">
        <f t="shared" si="220"/>
        <v>0.72366009633364481</v>
      </c>
      <c r="AX101" s="17">
        <f t="shared" si="221"/>
        <v>0.70271996905773015</v>
      </c>
      <c r="AZ101" s="17">
        <f t="shared" si="222"/>
        <v>-0.96156115999267433</v>
      </c>
      <c r="BA101" s="17">
        <f t="shared" si="223"/>
        <v>2.7832978075027492</v>
      </c>
      <c r="BB101" s="17">
        <f t="shared" si="224"/>
        <v>2.1437339653499032</v>
      </c>
      <c r="BD101" t="str">
        <f t="shared" si="249"/>
        <v>63 Community and civil enforcement occupations</v>
      </c>
      <c r="BE101" s="17">
        <f t="shared" si="225"/>
        <v>-8.4861117713372796</v>
      </c>
      <c r="BF101" s="17">
        <f t="shared" si="225"/>
        <v>46.964044069218389</v>
      </c>
      <c r="BG101" s="17">
        <f t="shared" si="225"/>
        <v>-8.4264949647728677</v>
      </c>
      <c r="BH101" s="17">
        <f t="shared" si="225"/>
        <v>0.43264858798510719</v>
      </c>
      <c r="BI101" s="17">
        <f t="shared" si="226"/>
        <v>-7.4670259510356551E-2</v>
      </c>
      <c r="BK101" s="17">
        <f t="shared" si="227"/>
        <v>-2.6117512300673051</v>
      </c>
      <c r="BL101" s="17">
        <f t="shared" si="228"/>
        <v>1.5014094047201443</v>
      </c>
      <c r="BM101" s="17">
        <f t="shared" si="229"/>
        <v>-0.53384841916390702</v>
      </c>
      <c r="BO101" t="str">
        <f t="shared" si="250"/>
        <v>63 Community and civil enforcement occupations</v>
      </c>
      <c r="BP101" s="17">
        <f t="shared" si="230"/>
        <v>-3.8218794536807321</v>
      </c>
      <c r="BQ101" s="17">
        <f t="shared" si="230"/>
        <v>25.635431928814633</v>
      </c>
      <c r="BR101" s="17">
        <f t="shared" si="230"/>
        <v>-5.9219484087281948</v>
      </c>
      <c r="BS101" s="17">
        <f t="shared" si="230"/>
        <v>-0.47349717001853309</v>
      </c>
      <c r="BT101" s="17">
        <f t="shared" si="231"/>
        <v>-0.7749510454274966</v>
      </c>
      <c r="BV101" s="17">
        <f t="shared" si="232"/>
        <v>-2.3238347765231815</v>
      </c>
      <c r="BW101" s="17">
        <f t="shared" si="233"/>
        <v>1.8215175932041028</v>
      </c>
      <c r="BX101" s="17">
        <f t="shared" si="234"/>
        <v>9.1200620396025833E-2</v>
      </c>
      <c r="BZ101" t="str">
        <f t="shared" si="251"/>
        <v>63 Community and civil enforcement occupations</v>
      </c>
      <c r="CA101" s="17">
        <f t="shared" si="235"/>
        <v>-3.0867482214083308</v>
      </c>
      <c r="CB101" s="17">
        <f t="shared" si="235"/>
        <v>24.031992367584621</v>
      </c>
      <c r="CC101" s="17">
        <f t="shared" si="235"/>
        <v>-4.5625760263512731</v>
      </c>
      <c r="CD101" s="17">
        <f t="shared" si="235"/>
        <v>-1.3748686686090306</v>
      </c>
      <c r="CE101" s="17">
        <f t="shared" si="236"/>
        <v>-0.97378025884417019</v>
      </c>
      <c r="CG101" s="17">
        <f t="shared" si="237"/>
        <v>-2.4490958133087215</v>
      </c>
      <c r="CH101" s="17">
        <f t="shared" si="238"/>
        <v>1.7808264217691772</v>
      </c>
      <c r="CI101" s="17">
        <f t="shared" si="239"/>
        <v>-4.9956271323170487E-2</v>
      </c>
      <c r="CK101" t="str">
        <f t="shared" si="252"/>
        <v>63 Community and civil enforcement occupations</v>
      </c>
      <c r="CL101" s="17">
        <f t="shared" si="240"/>
        <v>-9.7340718069921515</v>
      </c>
      <c r="CM101" s="17">
        <f t="shared" si="240"/>
        <v>29.441531166888346</v>
      </c>
      <c r="CN101" s="17">
        <f t="shared" si="240"/>
        <v>-12.383488612313631</v>
      </c>
      <c r="CO101" s="17">
        <f t="shared" si="240"/>
        <v>-3.292995076778682</v>
      </c>
      <c r="CP101" s="17">
        <f t="shared" si="241"/>
        <v>-4.5064755750440888</v>
      </c>
      <c r="CR101" s="17">
        <f t="shared" si="242"/>
        <v>-6.4233972296459445</v>
      </c>
      <c r="CS101" s="17">
        <f t="shared" si="243"/>
        <v>0.82240662401826814</v>
      </c>
      <c r="CT101" s="17">
        <f t="shared" si="244"/>
        <v>-4.5141524037928926</v>
      </c>
    </row>
    <row r="102" spans="1:98" x14ac:dyDescent="0.3">
      <c r="A102" t="str">
        <f t="shared" si="199"/>
        <v>71 Sales occupations</v>
      </c>
      <c r="B102" s="17">
        <f t="shared" si="200"/>
        <v>3.6723587788385581</v>
      </c>
      <c r="C102" s="17">
        <f t="shared" si="200"/>
        <v>-10.582089122458193</v>
      </c>
      <c r="D102" s="17">
        <f t="shared" si="200"/>
        <v>4.8492206435515328</v>
      </c>
      <c r="E102" s="17">
        <f t="shared" si="200"/>
        <v>3.8632959855375404</v>
      </c>
      <c r="F102" s="17">
        <f t="shared" si="201"/>
        <v>3.1999465169326502</v>
      </c>
      <c r="H102" s="17">
        <f t="shared" si="202"/>
        <v>4.1909031085811899</v>
      </c>
      <c r="I102" s="17">
        <f t="shared" si="203"/>
        <v>3.4878798165390412</v>
      </c>
      <c r="J102" s="17">
        <f t="shared" si="204"/>
        <v>6.3655906471235868</v>
      </c>
      <c r="L102" t="str">
        <f t="shared" si="245"/>
        <v>71 Sales occupations</v>
      </c>
      <c r="M102" s="17">
        <f t="shared" si="205"/>
        <v>4.8655089825254461</v>
      </c>
      <c r="N102" s="17">
        <f t="shared" si="205"/>
        <v>2.2903379272983582</v>
      </c>
      <c r="O102" s="17">
        <f t="shared" si="205"/>
        <v>5.5383045077538773</v>
      </c>
      <c r="P102" s="17">
        <f t="shared" si="205"/>
        <v>5.2312472655198672</v>
      </c>
      <c r="Q102" s="17">
        <f t="shared" si="206"/>
        <v>5.1406777794571923</v>
      </c>
      <c r="S102" s="17">
        <f t="shared" si="207"/>
        <v>5.3335002883283078</v>
      </c>
      <c r="T102" s="17">
        <f t="shared" si="208"/>
        <v>3.8082073408320927</v>
      </c>
      <c r="U102" s="17">
        <f t="shared" si="209"/>
        <v>7.4345501436511752</v>
      </c>
      <c r="W102" t="str">
        <f t="shared" si="246"/>
        <v>71 Sales occupations</v>
      </c>
      <c r="X102" s="17">
        <f t="shared" si="210"/>
        <v>0.95918079335401973</v>
      </c>
      <c r="Y102" s="17">
        <f t="shared" si="210"/>
        <v>5.2979200672395699</v>
      </c>
      <c r="Z102" s="17">
        <f t="shared" si="210"/>
        <v>1.4781828809833586</v>
      </c>
      <c r="AA102" s="17">
        <f t="shared" si="210"/>
        <v>2.3321685097716482</v>
      </c>
      <c r="AB102" s="17">
        <f t="shared" si="211"/>
        <v>2.246937989555664</v>
      </c>
      <c r="AD102" s="17">
        <f t="shared" si="212"/>
        <v>2.0467110853099824</v>
      </c>
      <c r="AE102" s="17">
        <f t="shared" si="213"/>
        <v>3.3425555560775422</v>
      </c>
      <c r="AF102" s="17">
        <f t="shared" si="214"/>
        <v>4.7037733507981239</v>
      </c>
      <c r="AH102" t="str">
        <f t="shared" si="247"/>
        <v>71 Sales occupations</v>
      </c>
      <c r="AI102" s="17">
        <f t="shared" si="215"/>
        <v>-0.15340403237216194</v>
      </c>
      <c r="AJ102" s="17">
        <f t="shared" si="215"/>
        <v>7.1883624621177589</v>
      </c>
      <c r="AK102" s="17">
        <f t="shared" si="215"/>
        <v>0.38920476867303488</v>
      </c>
      <c r="AL102" s="17">
        <f t="shared" si="215"/>
        <v>2.0396922967141906</v>
      </c>
      <c r="AM102" s="17">
        <f t="shared" si="216"/>
        <v>1.8338426178349909</v>
      </c>
      <c r="AO102" s="17">
        <f t="shared" si="217"/>
        <v>1.4865365564054267</v>
      </c>
      <c r="AP102" s="17">
        <f t="shared" si="218"/>
        <v>3.2202220107224955</v>
      </c>
      <c r="AQ102" s="17">
        <f t="shared" si="219"/>
        <v>4.2106203113634555</v>
      </c>
      <c r="AS102" t="str">
        <f t="shared" si="248"/>
        <v>71 Sales occupations</v>
      </c>
      <c r="AT102" s="17">
        <f t="shared" si="220"/>
        <v>-1.0264986263037956</v>
      </c>
      <c r="AU102" s="17">
        <f t="shared" si="220"/>
        <v>4.0597824263261417</v>
      </c>
      <c r="AV102" s="17">
        <f t="shared" si="220"/>
        <v>-0.30726412782554613</v>
      </c>
      <c r="AW102" s="17">
        <f t="shared" si="220"/>
        <v>1.6429164921626382</v>
      </c>
      <c r="AX102" s="17">
        <f t="shared" si="221"/>
        <v>1.1779158349898511</v>
      </c>
      <c r="AZ102" s="17">
        <f t="shared" si="222"/>
        <v>0.98865391628448762</v>
      </c>
      <c r="BA102" s="17">
        <f t="shared" si="223"/>
        <v>2.7383797921032071</v>
      </c>
      <c r="BB102" s="17">
        <f t="shared" si="224"/>
        <v>3.4309732598608367</v>
      </c>
      <c r="BD102" t="str">
        <f t="shared" si="249"/>
        <v>71 Sales occupations</v>
      </c>
      <c r="BE102" s="17">
        <f t="shared" si="225"/>
        <v>-0.62426322216532215</v>
      </c>
      <c r="BF102" s="17">
        <f t="shared" si="225"/>
        <v>3.0034060353881564</v>
      </c>
      <c r="BG102" s="17">
        <f t="shared" si="225"/>
        <v>-0.97752888148724404</v>
      </c>
      <c r="BH102" s="17">
        <f t="shared" si="225"/>
        <v>0.24307046807432453</v>
      </c>
      <c r="BI102" s="17">
        <f t="shared" si="226"/>
        <v>2.9707661173161704E-2</v>
      </c>
      <c r="BK102" s="17">
        <f t="shared" si="227"/>
        <v>-0.16545863341352884</v>
      </c>
      <c r="BL102" s="17">
        <f t="shared" si="228"/>
        <v>2.44689901086661</v>
      </c>
      <c r="BM102" s="17">
        <f t="shared" si="229"/>
        <v>2.3293639725689097</v>
      </c>
      <c r="BO102" t="str">
        <f t="shared" si="250"/>
        <v>71 Sales occupations</v>
      </c>
      <c r="BP102" s="17">
        <f t="shared" si="230"/>
        <v>-2.4154332748379304</v>
      </c>
      <c r="BQ102" s="17">
        <f t="shared" si="230"/>
        <v>-5.9693379992048605</v>
      </c>
      <c r="BR102" s="17">
        <f t="shared" si="230"/>
        <v>-2.6533650972780043</v>
      </c>
      <c r="BS102" s="17">
        <f t="shared" si="230"/>
        <v>-2.4596360731217071</v>
      </c>
      <c r="BT102" s="17">
        <f t="shared" si="231"/>
        <v>-2.7432236574953195</v>
      </c>
      <c r="BV102" s="17">
        <f t="shared" si="232"/>
        <v>-2.5242552143403985</v>
      </c>
      <c r="BW102" s="17">
        <f t="shared" si="233"/>
        <v>2.1578089726830063</v>
      </c>
      <c r="BX102" s="17">
        <f t="shared" si="234"/>
        <v>0.38236348544382626</v>
      </c>
      <c r="BZ102" t="str">
        <f t="shared" si="251"/>
        <v>71 Sales occupations</v>
      </c>
      <c r="CA102" s="17">
        <f t="shared" si="235"/>
        <v>-1.8269185544144584</v>
      </c>
      <c r="CB102" s="17">
        <f t="shared" si="235"/>
        <v>-8.6045949580742516</v>
      </c>
      <c r="CC102" s="17">
        <f t="shared" si="235"/>
        <v>-4.3555708451122559</v>
      </c>
      <c r="CD102" s="17">
        <f t="shared" si="235"/>
        <v>-8.9146114511206456</v>
      </c>
      <c r="CE102" s="17">
        <f t="shared" si="236"/>
        <v>-7.4941134857470004</v>
      </c>
      <c r="CG102" s="17">
        <f t="shared" si="237"/>
        <v>-7.4196034506879505</v>
      </c>
      <c r="CH102" s="17">
        <f t="shared" si="238"/>
        <v>1.4087658555361537</v>
      </c>
      <c r="CI102" s="17">
        <f t="shared" si="239"/>
        <v>-3.9293617301735417</v>
      </c>
      <c r="CK102" t="str">
        <f t="shared" si="252"/>
        <v>71 Sales occupations</v>
      </c>
      <c r="CL102" s="17">
        <f t="shared" si="240"/>
        <v>-5.3410849661098991</v>
      </c>
      <c r="CM102" s="17">
        <f t="shared" si="240"/>
        <v>-14.808747915520136</v>
      </c>
      <c r="CN102" s="17">
        <f t="shared" si="240"/>
        <v>-6.7675203079651469</v>
      </c>
      <c r="CO102" s="17">
        <f t="shared" si="240"/>
        <v>-4.8484039757281323</v>
      </c>
      <c r="CP102" s="17">
        <f t="shared" si="241"/>
        <v>-6.1034799549161578</v>
      </c>
      <c r="CR102" s="17">
        <f t="shared" si="242"/>
        <v>-5.4924590156847692</v>
      </c>
      <c r="CS102" s="17">
        <f t="shared" si="243"/>
        <v>1.052836275554081</v>
      </c>
      <c r="CT102" s="17">
        <f t="shared" si="244"/>
        <v>-3.3625965631829402</v>
      </c>
    </row>
    <row r="103" spans="1:98" x14ac:dyDescent="0.3">
      <c r="A103" t="str">
        <f t="shared" si="199"/>
        <v>72 Customer service occupations</v>
      </c>
      <c r="B103" s="17">
        <f t="shared" si="200"/>
        <v>5.2888440494879285</v>
      </c>
      <c r="C103" s="17">
        <f t="shared" si="200"/>
        <v>10.005498448064198</v>
      </c>
      <c r="D103" s="17">
        <f t="shared" si="200"/>
        <v>11.821979930152571</v>
      </c>
      <c r="E103" s="17">
        <f t="shared" si="200"/>
        <v>5.2792183081912469</v>
      </c>
      <c r="F103" s="17">
        <f t="shared" si="201"/>
        <v>7.5764726225672652</v>
      </c>
      <c r="H103" s="17">
        <f t="shared" si="202"/>
        <v>7.4164578389577906</v>
      </c>
      <c r="I103" s="17">
        <f t="shared" si="203"/>
        <v>4.5909862501315457</v>
      </c>
      <c r="J103" s="17">
        <f t="shared" si="204"/>
        <v>9.4699344246791597</v>
      </c>
      <c r="L103" t="str">
        <f t="shared" si="245"/>
        <v>72 Customer service occupations</v>
      </c>
      <c r="M103" s="17">
        <f t="shared" si="205"/>
        <v>7.5680695815902865</v>
      </c>
      <c r="N103" s="17">
        <f t="shared" si="205"/>
        <v>4.1581888045579829</v>
      </c>
      <c r="O103" s="17">
        <f t="shared" si="205"/>
        <v>11.200650126050494</v>
      </c>
      <c r="P103" s="17">
        <f t="shared" si="205"/>
        <v>4.9911167675795731</v>
      </c>
      <c r="Q103" s="17">
        <f t="shared" si="206"/>
        <v>6.8402080897025819</v>
      </c>
      <c r="S103" s="17">
        <f t="shared" si="207"/>
        <v>7.0214454339121657</v>
      </c>
      <c r="T103" s="17">
        <f t="shared" si="208"/>
        <v>4.6503856503160801</v>
      </c>
      <c r="U103" s="17">
        <f t="shared" si="209"/>
        <v>9.20153100770953</v>
      </c>
      <c r="W103" t="str">
        <f t="shared" si="246"/>
        <v>72 Customer service occupations</v>
      </c>
      <c r="X103" s="17">
        <f t="shared" si="210"/>
        <v>2.9156472091724339</v>
      </c>
      <c r="Y103" s="17">
        <f t="shared" si="210"/>
        <v>9.0971278160075109</v>
      </c>
      <c r="Z103" s="17">
        <f t="shared" si="210"/>
        <v>6.6130894564280229</v>
      </c>
      <c r="AA103" s="17">
        <f t="shared" si="210"/>
        <v>2.8066503032254664</v>
      </c>
      <c r="AB103" s="17">
        <f t="shared" si="211"/>
        <v>4.3680040727920089</v>
      </c>
      <c r="AD103" s="17">
        <f t="shared" si="212"/>
        <v>4.0601183576925326</v>
      </c>
      <c r="AE103" s="17">
        <f t="shared" si="213"/>
        <v>3.8672196376345891</v>
      </c>
      <c r="AF103" s="17">
        <f t="shared" si="214"/>
        <v>6.5317966293333862</v>
      </c>
      <c r="AH103" t="str">
        <f t="shared" si="247"/>
        <v>72 Customer service occupations</v>
      </c>
      <c r="AI103" s="17">
        <f t="shared" si="215"/>
        <v>4.1170388113216605</v>
      </c>
      <c r="AJ103" s="17">
        <f t="shared" si="215"/>
        <v>13.134763500922308</v>
      </c>
      <c r="AK103" s="17">
        <f t="shared" si="215"/>
        <v>6.7657843466759626</v>
      </c>
      <c r="AL103" s="17">
        <f t="shared" si="215"/>
        <v>2.8040220478798616</v>
      </c>
      <c r="AM103" s="17">
        <f t="shared" si="216"/>
        <v>4.6504500948437721</v>
      </c>
      <c r="AO103" s="17">
        <f t="shared" si="217"/>
        <v>4.1079997510306665</v>
      </c>
      <c r="AP103" s="17">
        <f t="shared" si="218"/>
        <v>4.0669748238836956</v>
      </c>
      <c r="AQ103" s="17">
        <f t="shared" si="219"/>
        <v>6.7063786441484252</v>
      </c>
      <c r="AS103" t="str">
        <f t="shared" si="248"/>
        <v>72 Customer service occupations</v>
      </c>
      <c r="AT103" s="17">
        <f t="shared" si="220"/>
        <v>2.2342184852616187</v>
      </c>
      <c r="AU103" s="17">
        <f t="shared" si="220"/>
        <v>5.0220989395793003</v>
      </c>
      <c r="AV103" s="17">
        <f t="shared" si="220"/>
        <v>5.8979583309794803</v>
      </c>
      <c r="AW103" s="17">
        <f t="shared" si="220"/>
        <v>1.7751654838416009</v>
      </c>
      <c r="AX103" s="17">
        <f t="shared" si="221"/>
        <v>3.248452257455825</v>
      </c>
      <c r="AZ103" s="17">
        <f t="shared" si="222"/>
        <v>3.1312798151876153</v>
      </c>
      <c r="BA103" s="17">
        <f t="shared" si="223"/>
        <v>3.4582735433924761</v>
      </c>
      <c r="BB103" s="17">
        <f t="shared" si="224"/>
        <v>5.5652152737349914</v>
      </c>
      <c r="BD103" t="str">
        <f t="shared" si="249"/>
        <v>72 Customer service occupations</v>
      </c>
      <c r="BE103" s="17">
        <f t="shared" si="225"/>
        <v>1.6326597770690121</v>
      </c>
      <c r="BF103" s="17">
        <f t="shared" si="225"/>
        <v>5.1003019291913532</v>
      </c>
      <c r="BG103" s="17">
        <f t="shared" si="225"/>
        <v>4.3088564809299346</v>
      </c>
      <c r="BH103" s="17">
        <f t="shared" si="225"/>
        <v>1.1015053463478308</v>
      </c>
      <c r="BI103" s="17">
        <f t="shared" si="226"/>
        <v>2.3408763680415667</v>
      </c>
      <c r="BK103" s="17">
        <f t="shared" si="227"/>
        <v>2.1595119468089008</v>
      </c>
      <c r="BL103" s="17">
        <f t="shared" si="228"/>
        <v>2.924606104487637</v>
      </c>
      <c r="BM103" s="17">
        <f t="shared" si="229"/>
        <v>4.4401967205824677</v>
      </c>
      <c r="BO103" t="str">
        <f t="shared" si="250"/>
        <v>72 Customer service occupations</v>
      </c>
      <c r="BP103" s="17">
        <f t="shared" si="230"/>
        <v>1.8373757388023382</v>
      </c>
      <c r="BQ103" s="17">
        <f t="shared" si="230"/>
        <v>-4.5694320941567774</v>
      </c>
      <c r="BR103" s="17">
        <f t="shared" si="230"/>
        <v>4.2017264446964298</v>
      </c>
      <c r="BS103" s="17">
        <f t="shared" si="230"/>
        <v>-0.7633328143614837</v>
      </c>
      <c r="BT103" s="17">
        <f t="shared" si="231"/>
        <v>0.51629829473447408</v>
      </c>
      <c r="BV103" s="17">
        <f t="shared" si="232"/>
        <v>0.86482786578636617</v>
      </c>
      <c r="BW103" s="17">
        <f t="shared" si="233"/>
        <v>2.9273326359851692</v>
      </c>
      <c r="BX103" s="17">
        <f t="shared" si="234"/>
        <v>3.5168334190466277</v>
      </c>
      <c r="BZ103" t="str">
        <f t="shared" si="251"/>
        <v>72 Customer service occupations</v>
      </c>
      <c r="CA103" s="17">
        <f t="shared" si="235"/>
        <v>-0.81996454548857178</v>
      </c>
      <c r="CB103" s="17">
        <f t="shared" si="235"/>
        <v>-3.0020705953784588</v>
      </c>
      <c r="CC103" s="17">
        <f t="shared" si="235"/>
        <v>1.6185721155989929</v>
      </c>
      <c r="CD103" s="17">
        <f t="shared" si="235"/>
        <v>-1.3075287522883117</v>
      </c>
      <c r="CE103" s="17">
        <f t="shared" si="236"/>
        <v>-0.51003939582134894</v>
      </c>
      <c r="CG103" s="17">
        <f t="shared" si="237"/>
        <v>-0.34164553748340376</v>
      </c>
      <c r="CH103" s="17">
        <f t="shared" si="238"/>
        <v>1.9530388197950277</v>
      </c>
      <c r="CI103" s="17">
        <f t="shared" si="239"/>
        <v>1.6940245373205709</v>
      </c>
      <c r="CK103" t="str">
        <f t="shared" si="252"/>
        <v>72 Customer service occupations</v>
      </c>
      <c r="CL103" s="17">
        <f t="shared" si="240"/>
        <v>3.3838189931596041</v>
      </c>
      <c r="CM103" s="17">
        <f t="shared" si="240"/>
        <v>-3.8887937748800283</v>
      </c>
      <c r="CN103" s="17">
        <f t="shared" si="240"/>
        <v>6.8098553898584768</v>
      </c>
      <c r="CO103" s="17">
        <f t="shared" si="240"/>
        <v>1.2974012910173416</v>
      </c>
      <c r="CP103" s="17">
        <f t="shared" si="241"/>
        <v>2.6510406395755748</v>
      </c>
      <c r="CR103" s="17">
        <f t="shared" si="242"/>
        <v>3.1025274517384016</v>
      </c>
      <c r="CS103" s="17">
        <f t="shared" si="243"/>
        <v>2.5678408861545376</v>
      </c>
      <c r="CT103" s="17">
        <f t="shared" si="244"/>
        <v>4.8819259400091353</v>
      </c>
    </row>
    <row r="104" spans="1:98" x14ac:dyDescent="0.3">
      <c r="A104" t="str">
        <f t="shared" si="199"/>
        <v>81 Process, plant and machine operatives</v>
      </c>
      <c r="B104" s="17">
        <f t="shared" si="200"/>
        <v>7.3757457297797924</v>
      </c>
      <c r="C104" s="17">
        <f t="shared" si="200"/>
        <v>-15.346343422643949</v>
      </c>
      <c r="D104" s="17">
        <f t="shared" si="200"/>
        <v>12.411459193428009</v>
      </c>
      <c r="E104" s="17">
        <f t="shared" si="200"/>
        <v>7.3635004172374563</v>
      </c>
      <c r="F104" s="17">
        <f t="shared" si="201"/>
        <v>7.3103421631893761</v>
      </c>
      <c r="H104" s="17">
        <f t="shared" si="202"/>
        <v>9.020449956366793</v>
      </c>
      <c r="I104" s="17">
        <f t="shared" si="203"/>
        <v>5.4093087789354399</v>
      </c>
      <c r="J104" s="17">
        <f t="shared" si="204"/>
        <v>11.110612902112749</v>
      </c>
      <c r="L104" t="str">
        <f t="shared" si="245"/>
        <v>81 Process, plant and machine operatives</v>
      </c>
      <c r="M104" s="17">
        <f t="shared" si="205"/>
        <v>7.2092616852172942</v>
      </c>
      <c r="N104" s="17">
        <f t="shared" si="205"/>
        <v>-11.443301661717609</v>
      </c>
      <c r="O104" s="17">
        <f t="shared" si="205"/>
        <v>12.414618279647073</v>
      </c>
      <c r="P104" s="17">
        <f t="shared" si="205"/>
        <v>6.4283954485588879</v>
      </c>
      <c r="Q104" s="17">
        <f t="shared" si="206"/>
        <v>7.0272599646031386</v>
      </c>
      <c r="S104" s="17">
        <f t="shared" si="207"/>
        <v>8.3875184403564127</v>
      </c>
      <c r="T104" s="17">
        <f t="shared" si="208"/>
        <v>5.1031513723573063</v>
      </c>
      <c r="U104" s="17">
        <f t="shared" si="209"/>
        <v>10.476451542765176</v>
      </c>
      <c r="W104" t="str">
        <f t="shared" si="246"/>
        <v>81 Process, plant and machine operatives</v>
      </c>
      <c r="X104" s="17">
        <f t="shared" si="210"/>
        <v>0.40967147748203203</v>
      </c>
      <c r="Y104" s="17">
        <f t="shared" si="210"/>
        <v>-5.8657089134554479</v>
      </c>
      <c r="Z104" s="17">
        <f t="shared" si="210"/>
        <v>9.9798881090342739</v>
      </c>
      <c r="AA104" s="17">
        <f t="shared" si="210"/>
        <v>5.3111446934295037</v>
      </c>
      <c r="AB104" s="17">
        <f t="shared" si="211"/>
        <v>6.0024974218550575</v>
      </c>
      <c r="AD104" s="17">
        <f t="shared" si="212"/>
        <v>6.8449450665919009</v>
      </c>
      <c r="AE104" s="17">
        <f t="shared" si="213"/>
        <v>4.7074425706715051</v>
      </c>
      <c r="AF104" s="17">
        <f t="shared" si="214"/>
        <v>9.1008829135257976</v>
      </c>
      <c r="AH104" t="str">
        <f t="shared" si="247"/>
        <v>81 Process, plant and machine operatives</v>
      </c>
      <c r="AI104" s="17">
        <f t="shared" si="215"/>
        <v>0.771246487779087</v>
      </c>
      <c r="AJ104" s="17">
        <f t="shared" si="215"/>
        <v>-2.2689339800565977</v>
      </c>
      <c r="AK104" s="17">
        <f t="shared" si="215"/>
        <v>8.9172050006517409</v>
      </c>
      <c r="AL104" s="17">
        <f t="shared" si="215"/>
        <v>4.2063339237478736</v>
      </c>
      <c r="AM104" s="17">
        <f t="shared" si="216"/>
        <v>5.2333789840918188</v>
      </c>
      <c r="AO104" s="17">
        <f t="shared" si="217"/>
        <v>5.7535384557493296</v>
      </c>
      <c r="AP104" s="17">
        <f t="shared" si="218"/>
        <v>4.150216335422674</v>
      </c>
      <c r="AQ104" s="17">
        <f t="shared" si="219"/>
        <v>7.9602028953326354</v>
      </c>
      <c r="AS104" t="str">
        <f t="shared" si="248"/>
        <v>81 Process, plant and machine operatives</v>
      </c>
      <c r="AT104" s="17">
        <f t="shared" si="220"/>
        <v>0.26416686887666962</v>
      </c>
      <c r="AU104" s="17">
        <f t="shared" si="220"/>
        <v>-4.0644545464647912</v>
      </c>
      <c r="AV104" s="17">
        <f t="shared" si="220"/>
        <v>8.0134579635816383</v>
      </c>
      <c r="AW104" s="17">
        <f t="shared" si="220"/>
        <v>3.2625376769293668</v>
      </c>
      <c r="AX104" s="17">
        <f t="shared" si="221"/>
        <v>4.2436962700033165</v>
      </c>
      <c r="AZ104" s="17">
        <f t="shared" si="222"/>
        <v>4.8224933313177898</v>
      </c>
      <c r="BA104" s="17">
        <f t="shared" si="223"/>
        <v>3.9194306607651441</v>
      </c>
      <c r="BB104" s="17">
        <f t="shared" si="224"/>
        <v>7.1229191211883869</v>
      </c>
      <c r="BD104" t="str">
        <f t="shared" si="249"/>
        <v>81 Process, plant and machine operatives</v>
      </c>
      <c r="BE104" s="17">
        <f t="shared" si="225"/>
        <v>0.7740819828210066</v>
      </c>
      <c r="BF104" s="17">
        <f t="shared" si="225"/>
        <v>-8.7943097872941074</v>
      </c>
      <c r="BG104" s="17">
        <f t="shared" si="225"/>
        <v>5.628121899107752</v>
      </c>
      <c r="BH104" s="17">
        <f t="shared" si="225"/>
        <v>1.3861652611151909</v>
      </c>
      <c r="BI104" s="17">
        <f t="shared" si="226"/>
        <v>2.0162060878222476</v>
      </c>
      <c r="BK104" s="17">
        <f t="shared" si="227"/>
        <v>2.7808765853291728</v>
      </c>
      <c r="BL104" s="17">
        <f t="shared" si="228"/>
        <v>2.7158559922993986</v>
      </c>
      <c r="BM104" s="17">
        <f t="shared" si="229"/>
        <v>4.7423632151933015</v>
      </c>
      <c r="BO104" t="str">
        <f t="shared" si="250"/>
        <v>81 Process, plant and machine operatives</v>
      </c>
      <c r="BP104" s="17">
        <f t="shared" si="230"/>
        <v>0.13305502703071515</v>
      </c>
      <c r="BQ104" s="17">
        <f t="shared" si="230"/>
        <v>-12.432594670162045</v>
      </c>
      <c r="BR104" s="17">
        <f t="shared" si="230"/>
        <v>4.7656676615492444</v>
      </c>
      <c r="BS104" s="17">
        <f t="shared" si="230"/>
        <v>-0.30249121782169874</v>
      </c>
      <c r="BT104" s="17">
        <f t="shared" si="231"/>
        <v>0.43672186630070442</v>
      </c>
      <c r="BV104" s="17">
        <f t="shared" si="232"/>
        <v>1.3590502801272386</v>
      </c>
      <c r="BW104" s="17">
        <f t="shared" si="233"/>
        <v>2.676021534952211</v>
      </c>
      <c r="BX104" s="17">
        <f t="shared" si="234"/>
        <v>3.6433666567218914</v>
      </c>
      <c r="BZ104" t="str">
        <f t="shared" si="251"/>
        <v>81 Process, plant and machine operatives</v>
      </c>
      <c r="CA104" s="17">
        <f t="shared" si="235"/>
        <v>-1.5558015119488511</v>
      </c>
      <c r="CB104" s="17">
        <f t="shared" si="235"/>
        <v>-15.609208537841068</v>
      </c>
      <c r="CC104" s="17">
        <f t="shared" si="235"/>
        <v>1.6479932366737504</v>
      </c>
      <c r="CD104" s="17">
        <f t="shared" si="235"/>
        <v>-7.4001329228711832</v>
      </c>
      <c r="CE104" s="17">
        <f t="shared" si="236"/>
        <v>-5.2141964604241924</v>
      </c>
      <c r="CG104" s="17">
        <f t="shared" si="237"/>
        <v>-4.4773170776771787</v>
      </c>
      <c r="CH104" s="17">
        <f t="shared" si="238"/>
        <v>1.8145565838451949</v>
      </c>
      <c r="CI104" s="17">
        <f t="shared" si="239"/>
        <v>-1.373407639686075</v>
      </c>
      <c r="CK104" t="str">
        <f t="shared" si="252"/>
        <v>81 Process, plant and machine operatives</v>
      </c>
      <c r="CL104" s="17">
        <f t="shared" si="240"/>
        <v>-6.1670367696137873</v>
      </c>
      <c r="CM104" s="17">
        <f t="shared" si="240"/>
        <v>-17.979132875870686</v>
      </c>
      <c r="CN104" s="17">
        <f t="shared" si="240"/>
        <v>-10.287987266659361</v>
      </c>
      <c r="CO104" s="17">
        <f t="shared" si="240"/>
        <v>-7.4271082976653968</v>
      </c>
      <c r="CP104" s="17">
        <f t="shared" si="241"/>
        <v>-9.0215614859231898</v>
      </c>
      <c r="CR104" s="17">
        <f t="shared" si="242"/>
        <v>-8.3907304820133746</v>
      </c>
      <c r="CS104" s="17">
        <f t="shared" si="243"/>
        <v>0.83702679053734297</v>
      </c>
      <c r="CT104" s="17">
        <f t="shared" si="244"/>
        <v>-5.8979981932905652</v>
      </c>
    </row>
    <row r="105" spans="1:98" x14ac:dyDescent="0.3">
      <c r="A105" t="str">
        <f t="shared" si="199"/>
        <v>82 Transport and mobile machine drivers and operatives</v>
      </c>
      <c r="B105" s="17">
        <f t="shared" si="200"/>
        <v>11.06183186875449</v>
      </c>
      <c r="C105" s="17">
        <f t="shared" si="200"/>
        <v>-6.8147768046148638</v>
      </c>
      <c r="D105" s="17">
        <f t="shared" si="200"/>
        <v>11.708422943332607</v>
      </c>
      <c r="E105" s="17">
        <f t="shared" si="200"/>
        <v>5.9561936755649691</v>
      </c>
      <c r="F105" s="17">
        <f t="shared" si="201"/>
        <v>6.8599603308455714</v>
      </c>
      <c r="H105" s="17">
        <f t="shared" si="202"/>
        <v>7.8399155806509357</v>
      </c>
      <c r="I105" s="17">
        <f t="shared" si="203"/>
        <v>5.9464087852403535</v>
      </c>
      <c r="J105" s="17">
        <f t="shared" si="204"/>
        <v>10.515653219311737</v>
      </c>
      <c r="L105" t="str">
        <f t="shared" si="245"/>
        <v>82 Transport and mobile machine drivers and operatives</v>
      </c>
      <c r="M105" s="17">
        <f t="shared" si="205"/>
        <v>9.8739755549233088</v>
      </c>
      <c r="N105" s="17">
        <f t="shared" si="205"/>
        <v>-2.6964858372265033</v>
      </c>
      <c r="O105" s="17">
        <f t="shared" si="205"/>
        <v>9.149627995232624</v>
      </c>
      <c r="P105" s="17">
        <f t="shared" si="205"/>
        <v>5.6798515359320456</v>
      </c>
      <c r="Q105" s="17">
        <f t="shared" si="206"/>
        <v>6.2025905949732341</v>
      </c>
      <c r="S105" s="17">
        <f t="shared" si="207"/>
        <v>6.824011550623843</v>
      </c>
      <c r="T105" s="17">
        <f t="shared" si="208"/>
        <v>5.3847084548679591</v>
      </c>
      <c r="U105" s="17">
        <f t="shared" si="209"/>
        <v>9.4748465947886764</v>
      </c>
      <c r="W105" t="str">
        <f t="shared" si="246"/>
        <v>82 Transport and mobile machine drivers and operatives</v>
      </c>
      <c r="X105" s="17">
        <f t="shared" si="210"/>
        <v>6.1963681260480685</v>
      </c>
      <c r="Y105" s="17">
        <f t="shared" si="210"/>
        <v>8.2991814631228067E-3</v>
      </c>
      <c r="Z105" s="17">
        <f t="shared" si="210"/>
        <v>4.5343037386296192</v>
      </c>
      <c r="AA105" s="17">
        <f t="shared" si="210"/>
        <v>3.0076171264484586</v>
      </c>
      <c r="AB105" s="17">
        <f t="shared" si="211"/>
        <v>3.2913551397955931</v>
      </c>
      <c r="AD105" s="17">
        <f t="shared" si="212"/>
        <v>3.5140190314811859</v>
      </c>
      <c r="AE105" s="17">
        <f t="shared" si="213"/>
        <v>4.4792138129629011</v>
      </c>
      <c r="AF105" s="17">
        <f t="shared" si="214"/>
        <v>6.5999155563482903</v>
      </c>
      <c r="AH105" t="str">
        <f t="shared" si="247"/>
        <v>82 Transport and mobile machine drivers and operatives</v>
      </c>
      <c r="AI105" s="17">
        <f t="shared" si="215"/>
        <v>6.4409892772420152</v>
      </c>
      <c r="AJ105" s="17">
        <f t="shared" si="215"/>
        <v>1.0446945683530773</v>
      </c>
      <c r="AK105" s="17">
        <f t="shared" si="215"/>
        <v>4.704386701234875</v>
      </c>
      <c r="AL105" s="17">
        <f t="shared" si="215"/>
        <v>2.5008466195015622</v>
      </c>
      <c r="AM105" s="17">
        <f t="shared" si="216"/>
        <v>3.0921926589687398</v>
      </c>
      <c r="AO105" s="17">
        <f t="shared" si="217"/>
        <v>3.2301584882790335</v>
      </c>
      <c r="AP105" s="17">
        <f t="shared" si="218"/>
        <v>4.372883955903184</v>
      </c>
      <c r="AQ105" s="17">
        <f t="shared" si="219"/>
        <v>6.3309519299643124</v>
      </c>
      <c r="AS105" t="str">
        <f t="shared" si="248"/>
        <v>82 Transport and mobile machine drivers and operatives</v>
      </c>
      <c r="AT105" s="17">
        <f t="shared" si="220"/>
        <v>4.574255221129242</v>
      </c>
      <c r="AU105" s="17">
        <f t="shared" si="220"/>
        <v>1.4522981492989251</v>
      </c>
      <c r="AV105" s="17">
        <f t="shared" si="220"/>
        <v>4.1376271445896728</v>
      </c>
      <c r="AW105" s="17">
        <f t="shared" si="220"/>
        <v>2.2125668979117386</v>
      </c>
      <c r="AX105" s="17">
        <f t="shared" si="221"/>
        <v>2.7623321273210211</v>
      </c>
      <c r="AZ105" s="17">
        <f t="shared" si="222"/>
        <v>2.8502667900148548</v>
      </c>
      <c r="BA105" s="17">
        <f t="shared" si="223"/>
        <v>4.3163624486176833</v>
      </c>
      <c r="BB105" s="17">
        <f t="shared" si="224"/>
        <v>6.0372743899424819</v>
      </c>
      <c r="BD105" t="str">
        <f t="shared" si="249"/>
        <v>82 Transport and mobile machine drivers and operatives</v>
      </c>
      <c r="BE105" s="17">
        <f t="shared" si="225"/>
        <v>3.0800673449303595</v>
      </c>
      <c r="BF105" s="17">
        <f t="shared" si="225"/>
        <v>-4.6426286137322803</v>
      </c>
      <c r="BG105" s="17">
        <f t="shared" si="225"/>
        <v>2.2180692054271089</v>
      </c>
      <c r="BH105" s="17">
        <f t="shared" si="225"/>
        <v>0.98860720443425532</v>
      </c>
      <c r="BI105" s="17">
        <f t="shared" si="226"/>
        <v>1.0083504965778145</v>
      </c>
      <c r="BK105" s="17">
        <f t="shared" si="227"/>
        <v>1.3967759408322511</v>
      </c>
      <c r="BL105" s="17">
        <f t="shared" si="228"/>
        <v>3.0784080151569082</v>
      </c>
      <c r="BM105" s="17">
        <f t="shared" si="229"/>
        <v>4.0238464920974382</v>
      </c>
      <c r="BO105" t="str">
        <f t="shared" si="250"/>
        <v>82 Transport and mobile machine drivers and operatives</v>
      </c>
      <c r="BP105" s="17">
        <f t="shared" si="230"/>
        <v>3.5169368898837705</v>
      </c>
      <c r="BQ105" s="17">
        <f t="shared" si="230"/>
        <v>-13.062921931841409</v>
      </c>
      <c r="BR105" s="17">
        <f t="shared" si="230"/>
        <v>2.1458387695309389</v>
      </c>
      <c r="BS105" s="17">
        <f t="shared" si="230"/>
        <v>-8.7236836444404275E-2</v>
      </c>
      <c r="BT105" s="17">
        <f t="shared" si="231"/>
        <v>-0.26562204064645156</v>
      </c>
      <c r="BV105" s="17">
        <f t="shared" si="232"/>
        <v>0.65164401320623178</v>
      </c>
      <c r="BW105" s="17">
        <f t="shared" si="233"/>
        <v>3.1319782244959127</v>
      </c>
      <c r="BX105" s="17">
        <f t="shared" si="234"/>
        <v>3.5622024769772942</v>
      </c>
      <c r="BZ105" t="str">
        <f t="shared" si="251"/>
        <v>82 Transport and mobile machine drivers and operatives</v>
      </c>
      <c r="CA105" s="17">
        <f t="shared" si="235"/>
        <v>0.71497447357826704</v>
      </c>
      <c r="CB105" s="17">
        <f t="shared" si="235"/>
        <v>-14.615262862564826</v>
      </c>
      <c r="CC105" s="17">
        <f t="shared" si="235"/>
        <v>-0.54084157561521407</v>
      </c>
      <c r="CD105" s="17">
        <f t="shared" si="235"/>
        <v>-2.5395209393392015</v>
      </c>
      <c r="CE105" s="17">
        <f t="shared" si="236"/>
        <v>-2.7268235943675445</v>
      </c>
      <c r="CG105" s="17">
        <f t="shared" si="237"/>
        <v>-1.8777975293762572</v>
      </c>
      <c r="CH105" s="17">
        <f t="shared" si="238"/>
        <v>2.3074898273223177</v>
      </c>
      <c r="CI105" s="17">
        <f t="shared" si="239"/>
        <v>0.99747314735838533</v>
      </c>
      <c r="CK105" t="str">
        <f t="shared" si="252"/>
        <v>82 Transport and mobile machine drivers and operatives</v>
      </c>
      <c r="CL105" s="17">
        <f t="shared" si="240"/>
        <v>1.9817338677888818</v>
      </c>
      <c r="CM105" s="17">
        <f t="shared" si="240"/>
        <v>-16.547937674078728</v>
      </c>
      <c r="CN105" s="17">
        <f t="shared" si="240"/>
        <v>-3.072393862389966</v>
      </c>
      <c r="CO105" s="17">
        <f t="shared" si="240"/>
        <v>-5.6863838091944725</v>
      </c>
      <c r="CP105" s="17">
        <f t="shared" si="241"/>
        <v>-5.601812672400353</v>
      </c>
      <c r="CR105" s="17">
        <f t="shared" si="242"/>
        <v>-4.8229820292739145</v>
      </c>
      <c r="CS105" s="17">
        <f t="shared" si="243"/>
        <v>1.71075708509143</v>
      </c>
      <c r="CT105" s="17">
        <f t="shared" si="244"/>
        <v>-1.7601395868121483</v>
      </c>
    </row>
    <row r="106" spans="1:98" x14ac:dyDescent="0.3">
      <c r="A106" t="str">
        <f t="shared" si="199"/>
        <v>91 Elementary trades and related occupations</v>
      </c>
      <c r="B106" s="17">
        <f t="shared" si="200"/>
        <v>-0.76860666551071821</v>
      </c>
      <c r="C106" s="17">
        <f t="shared" si="200"/>
        <v>-5.9862755807428503</v>
      </c>
      <c r="D106" s="17">
        <f t="shared" si="200"/>
        <v>2.8149408530633746</v>
      </c>
      <c r="E106" s="17">
        <f t="shared" si="200"/>
        <v>5.0395392728241672</v>
      </c>
      <c r="F106" s="17">
        <f t="shared" si="201"/>
        <v>3.6185547646626626</v>
      </c>
      <c r="H106" s="17">
        <f t="shared" si="202"/>
        <v>4.2927090949809399</v>
      </c>
      <c r="I106" s="17">
        <f t="shared" si="203"/>
        <v>3.9114328693471867</v>
      </c>
      <c r="J106" s="17">
        <f t="shared" si="204"/>
        <v>6.7303768175088097</v>
      </c>
      <c r="L106" t="str">
        <f t="shared" si="245"/>
        <v>91 Elementary trades and related occupations</v>
      </c>
      <c r="M106" s="17">
        <f t="shared" si="205"/>
        <v>4.8764898428537595</v>
      </c>
      <c r="N106" s="17">
        <f t="shared" si="205"/>
        <v>-16.988648120469207</v>
      </c>
      <c r="O106" s="17">
        <f t="shared" si="205"/>
        <v>5.176079506163056</v>
      </c>
      <c r="P106" s="17">
        <f t="shared" si="205"/>
        <v>5.3017777470738769</v>
      </c>
      <c r="Q106" s="17">
        <f t="shared" si="206"/>
        <v>3.7092427249863613</v>
      </c>
      <c r="S106" s="17">
        <f t="shared" si="207"/>
        <v>5.2598616506605245</v>
      </c>
      <c r="T106" s="17">
        <f t="shared" si="208"/>
        <v>3.894649682843454</v>
      </c>
      <c r="U106" s="17">
        <f t="shared" si="209"/>
        <v>7.432736186558575</v>
      </c>
      <c r="W106" t="str">
        <f t="shared" si="246"/>
        <v>91 Elementary trades and related occupations</v>
      </c>
      <c r="X106" s="17">
        <f t="shared" si="210"/>
        <v>-1.2930078916806309E-2</v>
      </c>
      <c r="Y106" s="17">
        <f t="shared" si="210"/>
        <v>-8.3984755930158315</v>
      </c>
      <c r="Z106" s="17">
        <f t="shared" si="210"/>
        <v>-0.57192979992880533</v>
      </c>
      <c r="AA106" s="17">
        <f t="shared" si="210"/>
        <v>1.5335476495752509</v>
      </c>
      <c r="AB106" s="17">
        <f t="shared" si="211"/>
        <v>0.22393733144598915</v>
      </c>
      <c r="AD106" s="17">
        <f t="shared" si="212"/>
        <v>0.82681396131389917</v>
      </c>
      <c r="AE106" s="17">
        <f t="shared" si="213"/>
        <v>3.2234862654388907</v>
      </c>
      <c r="AF106" s="17">
        <f t="shared" si="214"/>
        <v>3.7652267684938012</v>
      </c>
      <c r="AH106" t="str">
        <f t="shared" si="247"/>
        <v>91 Elementary trades and related occupations</v>
      </c>
      <c r="AI106" s="17">
        <f t="shared" si="215"/>
        <v>0.34465247255728304</v>
      </c>
      <c r="AJ106" s="17">
        <f t="shared" si="215"/>
        <v>-9.8963838505726542</v>
      </c>
      <c r="AK106" s="17">
        <f t="shared" si="215"/>
        <v>6.8392153283158841E-2</v>
      </c>
      <c r="AL106" s="17">
        <f t="shared" si="215"/>
        <v>2.5277318352928901</v>
      </c>
      <c r="AM106" s="17">
        <f t="shared" si="216"/>
        <v>0.93458936724550856</v>
      </c>
      <c r="AO106" s="17">
        <f t="shared" si="217"/>
        <v>1.7013084650688848</v>
      </c>
      <c r="AP106" s="17">
        <f t="shared" si="218"/>
        <v>3.3510631610587094</v>
      </c>
      <c r="AQ106" s="17">
        <f t="shared" si="219"/>
        <v>4.4719163292764375</v>
      </c>
      <c r="AS106" t="str">
        <f t="shared" si="248"/>
        <v>91 Elementary trades and related occupations</v>
      </c>
      <c r="AT106" s="17">
        <f t="shared" si="220"/>
        <v>-0.57027704830291404</v>
      </c>
      <c r="AU106" s="17">
        <f t="shared" si="220"/>
        <v>2.2957236506970569</v>
      </c>
      <c r="AV106" s="17">
        <f t="shared" si="220"/>
        <v>-0.65297911595856295</v>
      </c>
      <c r="AW106" s="17">
        <f t="shared" si="220"/>
        <v>1.5101719781484446</v>
      </c>
      <c r="AX106" s="17">
        <f t="shared" si="221"/>
        <v>0.87776689375864692</v>
      </c>
      <c r="AZ106" s="17">
        <f t="shared" si="222"/>
        <v>0.78393831444760753</v>
      </c>
      <c r="BA106" s="17">
        <f t="shared" si="223"/>
        <v>2.8821612264233298</v>
      </c>
      <c r="BB106" s="17">
        <f t="shared" si="224"/>
        <v>3.4186802910458391</v>
      </c>
      <c r="BD106" t="str">
        <f t="shared" si="249"/>
        <v>91 Elementary trades and related occupations</v>
      </c>
      <c r="BE106" s="17">
        <f t="shared" si="225"/>
        <v>-2.4649471428218939</v>
      </c>
      <c r="BF106" s="17">
        <f t="shared" si="225"/>
        <v>-6.5862694882424577</v>
      </c>
      <c r="BG106" s="17">
        <f t="shared" si="225"/>
        <v>-1.3187844966542683</v>
      </c>
      <c r="BH106" s="17">
        <f t="shared" si="225"/>
        <v>1.4244924500437905</v>
      </c>
      <c r="BI106" s="17">
        <f t="shared" si="226"/>
        <v>4.3349775799006451E-2</v>
      </c>
      <c r="BK106" s="17">
        <f t="shared" si="227"/>
        <v>0.50169633687482396</v>
      </c>
      <c r="BL106" s="17">
        <f t="shared" si="228"/>
        <v>2.0411542505291091</v>
      </c>
      <c r="BM106" s="17">
        <f t="shared" si="229"/>
        <v>2.4226589373630869</v>
      </c>
      <c r="BO106" t="str">
        <f t="shared" si="250"/>
        <v>91 Elementary trades and related occupations</v>
      </c>
      <c r="BP106" s="17">
        <f t="shared" si="230"/>
        <v>-2.8432781395991369</v>
      </c>
      <c r="BQ106" s="17">
        <f t="shared" si="230"/>
        <v>-10.301196459295836</v>
      </c>
      <c r="BR106" s="17">
        <f t="shared" si="230"/>
        <v>-3.4112656088952198</v>
      </c>
      <c r="BS106" s="17">
        <f t="shared" si="230"/>
        <v>-0.62130697783366884</v>
      </c>
      <c r="BT106" s="17">
        <f t="shared" si="231"/>
        <v>-2.1305855956344821</v>
      </c>
      <c r="BV106" s="17">
        <f t="shared" si="232"/>
        <v>-1.560134331741958</v>
      </c>
      <c r="BW106" s="17">
        <f t="shared" si="233"/>
        <v>1.8328206332337338</v>
      </c>
      <c r="BX106" s="17">
        <f t="shared" si="234"/>
        <v>0.65596774819440817</v>
      </c>
      <c r="BZ106" t="str">
        <f t="shared" si="251"/>
        <v>91 Elementary trades and related occupations</v>
      </c>
      <c r="CA106" s="17">
        <f t="shared" si="235"/>
        <v>-2.6961177977433581</v>
      </c>
      <c r="CB106" s="17">
        <f t="shared" si="235"/>
        <v>-14.216945620241617</v>
      </c>
      <c r="CC106" s="17">
        <f t="shared" si="235"/>
        <v>-4.7172927288637538</v>
      </c>
      <c r="CD106" s="17">
        <f t="shared" si="235"/>
        <v>-2.4864374834753233</v>
      </c>
      <c r="CE106" s="17">
        <f t="shared" si="236"/>
        <v>-3.9615513515200318</v>
      </c>
      <c r="CG106" s="17">
        <f t="shared" si="237"/>
        <v>-3.2357997704422936</v>
      </c>
      <c r="CH106" s="17">
        <f t="shared" si="238"/>
        <v>1.6605483016805866</v>
      </c>
      <c r="CI106" s="17">
        <f t="shared" si="239"/>
        <v>-0.76812098824627917</v>
      </c>
      <c r="CK106" t="str">
        <f t="shared" si="252"/>
        <v>91 Elementary trades and related occupations</v>
      </c>
      <c r="CL106" s="17">
        <f t="shared" si="240"/>
        <v>-4.1646755542132707</v>
      </c>
      <c r="CM106" s="17">
        <f t="shared" si="240"/>
        <v>-13.083065293516594</v>
      </c>
      <c r="CN106" s="17">
        <f t="shared" si="240"/>
        <v>-6.2226391083510357</v>
      </c>
      <c r="CO106" s="17">
        <f t="shared" si="240"/>
        <v>-3.3015612967742025</v>
      </c>
      <c r="CP106" s="17">
        <f t="shared" si="241"/>
        <v>-4.8602916189574463</v>
      </c>
      <c r="CR106" s="17">
        <f t="shared" si="242"/>
        <v>-4.2852263045345289</v>
      </c>
      <c r="CS106" s="17">
        <f t="shared" si="243"/>
        <v>1.2629329046002891</v>
      </c>
      <c r="CT106" s="17">
        <f t="shared" si="244"/>
        <v>-2.1160061125833018</v>
      </c>
    </row>
    <row r="107" spans="1:98" x14ac:dyDescent="0.3">
      <c r="A107" t="str">
        <f t="shared" si="199"/>
        <v>92 Elementary administration and service occupations</v>
      </c>
      <c r="B107" s="17">
        <f t="shared" si="200"/>
        <v>6.3318991469036634</v>
      </c>
      <c r="C107" s="17">
        <f t="shared" si="200"/>
        <v>-1.2146390345659008</v>
      </c>
      <c r="D107" s="17">
        <f t="shared" si="200"/>
        <v>8.0990508905948833</v>
      </c>
      <c r="E107" s="17">
        <f t="shared" si="200"/>
        <v>4.4607417044213893</v>
      </c>
      <c r="F107" s="17">
        <f t="shared" si="201"/>
        <v>5.2163702455585437</v>
      </c>
      <c r="H107" s="17">
        <f t="shared" si="202"/>
        <v>5.6596976782613995</v>
      </c>
      <c r="I107" s="17">
        <f t="shared" si="203"/>
        <v>4.5816632873641128</v>
      </c>
      <c r="J107" s="17">
        <f t="shared" si="204"/>
        <v>8.1564470210257376</v>
      </c>
      <c r="L107" t="str">
        <f t="shared" ref="L107" si="253">A107</f>
        <v>92 Elementary administration and service occupations</v>
      </c>
      <c r="M107" s="17">
        <f t="shared" si="205"/>
        <v>8.6025405803063393</v>
      </c>
      <c r="N107" s="17">
        <f t="shared" si="205"/>
        <v>3.5625513658460894</v>
      </c>
      <c r="O107" s="17">
        <f t="shared" si="205"/>
        <v>9.0212649377460874</v>
      </c>
      <c r="P107" s="17">
        <f t="shared" si="205"/>
        <v>6.3236778397258719</v>
      </c>
      <c r="Q107" s="17">
        <f t="shared" si="206"/>
        <v>6.9833445491596979</v>
      </c>
      <c r="S107" s="17">
        <f t="shared" si="207"/>
        <v>7.2153743120595415</v>
      </c>
      <c r="T107" s="17">
        <f t="shared" si="208"/>
        <v>5.1033863919019984</v>
      </c>
      <c r="U107" s="17">
        <f t="shared" si="209"/>
        <v>9.5967770965918788</v>
      </c>
      <c r="W107" t="str">
        <f t="shared" ref="W107" si="254">A107</f>
        <v>92 Elementary administration and service occupations</v>
      </c>
      <c r="X107" s="17">
        <f t="shared" si="210"/>
        <v>4.3667762878170091</v>
      </c>
      <c r="Y107" s="17">
        <f t="shared" si="210"/>
        <v>3.5654735578667829</v>
      </c>
      <c r="Z107" s="17">
        <f t="shared" si="210"/>
        <v>3.8172619586593459</v>
      </c>
      <c r="AA107" s="17">
        <f t="shared" si="210"/>
        <v>2.7428737471622</v>
      </c>
      <c r="AB107" s="17">
        <f t="shared" si="211"/>
        <v>3.1288075454241726</v>
      </c>
      <c r="AD107" s="17">
        <f t="shared" si="212"/>
        <v>3.0997620262724457</v>
      </c>
      <c r="AE107" s="17">
        <f t="shared" si="213"/>
        <v>4.1783164851928678</v>
      </c>
      <c r="AF107" s="17">
        <f t="shared" si="214"/>
        <v>6.0938320313617567</v>
      </c>
      <c r="AH107" t="str">
        <f t="shared" ref="AH107" si="255">L107</f>
        <v>92 Elementary administration and service occupations</v>
      </c>
      <c r="AI107" s="17">
        <f t="shared" si="215"/>
        <v>4.5444799820607562</v>
      </c>
      <c r="AJ107" s="17">
        <f t="shared" si="215"/>
        <v>4.9016017129165146</v>
      </c>
      <c r="AK107" s="17">
        <f t="shared" si="215"/>
        <v>3.4853721295760032</v>
      </c>
      <c r="AL107" s="17">
        <f t="shared" si="215"/>
        <v>2.92874122867679</v>
      </c>
      <c r="AM107" s="17">
        <f t="shared" si="216"/>
        <v>3.2247816134004292</v>
      </c>
      <c r="AO107" s="17">
        <f t="shared" si="217"/>
        <v>3.1139513949021591</v>
      </c>
      <c r="AP107" s="17">
        <f t="shared" si="218"/>
        <v>4.0131398171924237</v>
      </c>
      <c r="AQ107" s="17">
        <f t="shared" si="219"/>
        <v>5.9758540039335672</v>
      </c>
      <c r="AS107" t="str">
        <f t="shared" ref="AS107" si="256">W107</f>
        <v>92 Elementary administration and service occupations</v>
      </c>
      <c r="AT107" s="17">
        <f t="shared" si="220"/>
        <v>2.8641829181798917</v>
      </c>
      <c r="AU107" s="17">
        <f t="shared" si="220"/>
        <v>8.7681527164707127</v>
      </c>
      <c r="AV107" s="17">
        <f t="shared" si="220"/>
        <v>3.0661348368627994</v>
      </c>
      <c r="AW107" s="17">
        <f t="shared" si="220"/>
        <v>2.8485115700332075</v>
      </c>
      <c r="AX107" s="17">
        <f t="shared" si="221"/>
        <v>3.277059235895452</v>
      </c>
      <c r="AZ107" s="17">
        <f t="shared" si="222"/>
        <v>2.9210015543729817</v>
      </c>
      <c r="BA107" s="17">
        <f t="shared" si="223"/>
        <v>3.9106368093466903</v>
      </c>
      <c r="BB107" s="17">
        <f t="shared" si="224"/>
        <v>5.7647674438605634</v>
      </c>
      <c r="BD107" t="str">
        <f t="shared" ref="BD107" si="257">AH107</f>
        <v>92 Elementary administration and service occupations</v>
      </c>
      <c r="BE107" s="17">
        <f t="shared" si="225"/>
        <v>-0.59101116869295645</v>
      </c>
      <c r="BF107" s="17">
        <f t="shared" si="225"/>
        <v>-3.8354107619763878</v>
      </c>
      <c r="BG107" s="17">
        <f t="shared" si="225"/>
        <v>-0.14342877603776838</v>
      </c>
      <c r="BH107" s="17">
        <f t="shared" si="225"/>
        <v>-0.11602882300510986</v>
      </c>
      <c r="BI107" s="17">
        <f t="shared" si="226"/>
        <v>-0.36119111028556361</v>
      </c>
      <c r="BK107" s="17">
        <f t="shared" si="227"/>
        <v>-0.12516297595388526</v>
      </c>
      <c r="BL107" s="17">
        <f t="shared" si="228"/>
        <v>2.6826880074608095</v>
      </c>
      <c r="BM107" s="17">
        <f t="shared" si="229"/>
        <v>2.596536582866249</v>
      </c>
      <c r="BO107" t="str">
        <f t="shared" ref="BO107" si="258">AS107</f>
        <v>92 Elementary administration and service occupations</v>
      </c>
      <c r="BP107" s="17">
        <f t="shared" si="230"/>
        <v>1.0214508904006658</v>
      </c>
      <c r="BQ107" s="17">
        <f t="shared" si="230"/>
        <v>-11.380919943932877</v>
      </c>
      <c r="BR107" s="17">
        <f t="shared" si="230"/>
        <v>0.7275991353819844</v>
      </c>
      <c r="BS107" s="17">
        <f t="shared" si="230"/>
        <v>-1.2589612657608162</v>
      </c>
      <c r="BT107" s="17">
        <f t="shared" si="231"/>
        <v>-1.3117585181601554</v>
      </c>
      <c r="BV107" s="17">
        <f t="shared" si="232"/>
        <v>-0.60116630747758526</v>
      </c>
      <c r="BW107" s="17">
        <f t="shared" si="233"/>
        <v>2.5953548057322529</v>
      </c>
      <c r="BX107" s="17">
        <f t="shared" si="234"/>
        <v>2.1811105859459667</v>
      </c>
      <c r="BZ107" t="str">
        <f t="shared" ref="BZ107" si="259">BD107</f>
        <v>92 Elementary administration and service occupations</v>
      </c>
      <c r="CA107" s="17">
        <f t="shared" si="235"/>
        <v>0.3785949279186962</v>
      </c>
      <c r="CB107" s="17">
        <f t="shared" si="235"/>
        <v>-12.066622320509691</v>
      </c>
      <c r="CC107" s="17">
        <f t="shared" si="235"/>
        <v>-0.47524278755648464</v>
      </c>
      <c r="CD107" s="17">
        <f t="shared" si="235"/>
        <v>-3.6313754887136285</v>
      </c>
      <c r="CE107" s="17">
        <f t="shared" si="236"/>
        <v>-3.2116971971603125</v>
      </c>
      <c r="CG107" s="17">
        <f t="shared" si="237"/>
        <v>-2.5906117783167093</v>
      </c>
      <c r="CH107" s="17">
        <f t="shared" si="238"/>
        <v>1.996505105204105</v>
      </c>
      <c r="CI107" s="17">
        <f t="shared" si="239"/>
        <v>0.13029699641196046</v>
      </c>
      <c r="CK107" t="str">
        <f t="shared" ref="CK107" si="260">BO107</f>
        <v>92 Elementary administration and service occupations</v>
      </c>
      <c r="CL107" s="17">
        <f t="shared" si="240"/>
        <v>-5.7930802464246316</v>
      </c>
      <c r="CM107" s="17">
        <f t="shared" si="240"/>
        <v>-20.809322997717128</v>
      </c>
      <c r="CN107" s="17">
        <f t="shared" si="240"/>
        <v>-6.4865165970230176</v>
      </c>
      <c r="CO107" s="17">
        <f t="shared" si="240"/>
        <v>-4.5897818461227757</v>
      </c>
      <c r="CP107" s="17">
        <f t="shared" si="241"/>
        <v>-6.2843476951922383</v>
      </c>
      <c r="CR107" s="17">
        <f t="shared" si="242"/>
        <v>-5.2262632883564581</v>
      </c>
      <c r="CS107" s="17">
        <f t="shared" si="243"/>
        <v>1.1027996467312784</v>
      </c>
      <c r="CT107" s="17">
        <f t="shared" si="244"/>
        <v>-3.0761651739788842</v>
      </c>
    </row>
    <row r="108" spans="1:98" x14ac:dyDescent="0.3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3">
      <c r="A109" s="23" t="str">
        <f>A35</f>
        <v>All occupations</v>
      </c>
      <c r="B109" s="25">
        <f>IF(AND(C$6-B$6 &lt;&gt; 0,B35&lt;&gt;0,C35&lt;&gt;0),(EXP(LN(C35/B35)/(C$6-B$6))-1)*100,0)</f>
        <v>6.5664272878815266</v>
      </c>
      <c r="C109" s="25">
        <f>IF(AND(D$6-C$6 &lt;&gt; 0,C35&lt;&gt;0,D35&lt;&gt;0),(EXP(LN(D35/C35)/(D$6-C$6))-1)*100,0)</f>
        <v>2.9294667819626197</v>
      </c>
      <c r="D109" s="25">
        <f>IF(AND(E$6-D$6 &lt;&gt; 0,D35&lt;&gt;0,E35&lt;&gt;0),(EXP(LN(E35/D35)/(E$6-D$6))-1)*100,0)</f>
        <v>5.0882711479763865</v>
      </c>
      <c r="E109" s="25">
        <f>IF(AND(F$6-E$6 &lt;&gt; 0,E35&lt;&gt;0,F35&lt;&gt;0),(EXP(LN(F35/E35)/(F$6-E$6))-1)*100,0)</f>
        <v>3.3832996631174783</v>
      </c>
      <c r="F109" s="25">
        <f>IF(AND(F$6-C$6 &lt;&gt; 0,C35&lt;&gt;0,F35&lt;&gt;0),(EXP(LN(F35/C35)/(F$6-C$6))-1)*100,0)</f>
        <v>3.8845417330377385</v>
      </c>
      <c r="H109" s="25">
        <f>IF($F$6-$D$6 &lt;&gt; 0,(EXP(LN(1+(H72/100))/($F$6-$D$6))-1)*100,0)</f>
        <v>3.9485275867186642</v>
      </c>
      <c r="I109" s="25">
        <f>IF(D35&gt;0,((1+(I35/D35))^(1/($F$6-$D$6))-1)*100,0)</f>
        <v>3.5550675832047407</v>
      </c>
      <c r="J109" s="25">
        <f>IF($F$6-$D$6 &lt;&gt; 0,(EXP(LN(1+(J72/100))/($F$6-$D$6))-1)*100,0)</f>
        <v>6.2318126434657506</v>
      </c>
      <c r="L109" s="23" t="str">
        <f>L35</f>
        <v>All occupations</v>
      </c>
      <c r="M109" s="25">
        <f>IF(AND(N$6-M$6 &lt;&gt; 0,M35&lt;&gt;0,N35&lt;&gt;0),(EXP(LN(N35/M35)/(N$6-M$6))-1)*100,0)</f>
        <v>6.9438028850267841</v>
      </c>
      <c r="N109" s="25">
        <f>IF(AND(O$6-N$6 &lt;&gt; 0,N35&lt;&gt;0,O35&lt;&gt;0),(EXP(LN(O35/N35)/(O$6-N$6))-1)*100,0)</f>
        <v>4.5186827805402618</v>
      </c>
      <c r="O109" s="25">
        <f>IF(AND(P$6-O$6 &lt;&gt; 0,O35&lt;&gt;0,P35&lt;&gt;0),(EXP(LN(P35/O35)/(P$6-O$6))-1)*100,0)</f>
        <v>5.0700578186198664</v>
      </c>
      <c r="P109" s="25">
        <f>IF(AND(Q$6-P$6 &lt;&gt; 0,P35&lt;&gt;0,Q35&lt;&gt;0),(EXP(LN(Q35/P35)/(Q$6-P$6))-1)*100,0)</f>
        <v>3.481727189292827</v>
      </c>
      <c r="Q109" s="25">
        <f>IF(AND(Q$6-N$6 &lt;&gt; 0,N35&lt;&gt;0,Q35&lt;&gt;0),(EXP(LN(Q35/N35)/(Q$6-N$6))-1)*100,0)</f>
        <v>4.0402990887303369</v>
      </c>
      <c r="S109" s="25">
        <f t="shared" ref="S109" si="261">IF($F$6-$D$6 &lt;&gt; 0,(EXP(LN(1+(S72/100))/($F$6-$D$6))-1)*100,0)</f>
        <v>4.0084848050853106</v>
      </c>
      <c r="T109" s="25">
        <f t="shared" ref="T109" si="262">IF(O35&gt;0,((1+(T35/O35))^(1/($F$6-$D$6))-1)*100,0)</f>
        <v>3.6912202297387342</v>
      </c>
      <c r="U109" s="25">
        <f t="shared" ref="U109" si="263">IF($F$6-$D$6 &lt;&gt; 0,(EXP(LN(1+(U72/100))/($F$6-$D$6))-1)*100,0)</f>
        <v>6.3710690150175386</v>
      </c>
      <c r="W109" s="23" t="str">
        <f>W35</f>
        <v>All occupations</v>
      </c>
      <c r="X109" s="25">
        <f>IF(AND(Y$6-X$6 &lt;&gt; 0,X35&lt;&gt;0,Y35&lt;&gt;0),(EXP(LN(Y35/X35)/(Y$6-X$6))-1)*100,0)</f>
        <v>2.2650065258756014</v>
      </c>
      <c r="Y109" s="25">
        <f>IF(AND(Z$6-Y$6 &lt;&gt; 0,Y35&lt;&gt;0,Z35&lt;&gt;0),(EXP(LN(Z35/Y35)/(Z$6-Y$6))-1)*100,0)</f>
        <v>4.6499393677333467</v>
      </c>
      <c r="Z109" s="25">
        <f>IF(AND(AA$6-Z$6 &lt;&gt; 0,Z35&lt;&gt;0,AA35&lt;&gt;0),(EXP(LN(AA35/Z35)/(AA$6-Z$6))-1)*100,0)</f>
        <v>1.2052067914729792</v>
      </c>
      <c r="AA109" s="25">
        <f>IF(AND(AB$6-AA$6 &lt;&gt; 0,AA35&lt;&gt;0,AB35&lt;&gt;0),(EXP(LN(AB35/AA35)/(AB$6-AA$6))-1)*100,0)</f>
        <v>1.1387993696401644</v>
      </c>
      <c r="AB109" s="25">
        <f>IF(AND(AB$6-Y$6 &lt;&gt; 0,Y35&lt;&gt;0,AB35&lt;&gt;0),(EXP(LN(AB35/Y35)/(AB$6-Y$6))-1)*100,0)</f>
        <v>1.3755445550305945</v>
      </c>
      <c r="AD109" s="25">
        <f t="shared" ref="AD109" si="264">IF($F$6-$D$6 &lt;&gt; 0,(EXP(LN(1+(AD72/100))/($F$6-$D$6))-1)*100,0)</f>
        <v>1.1609303339167987</v>
      </c>
      <c r="AE109" s="25">
        <f t="shared" ref="AE109" si="265">IF(Z35&gt;0,((1+(AE35/Z35))^(1/($F$6-$D$6))-1)*100,0)</f>
        <v>3.1802304282717353</v>
      </c>
      <c r="AF109" s="25">
        <f t="shared" ref="AF109" si="266">IF($F$6-$D$6 &lt;&gt; 0,(EXP(LN(1+(AF72/100))/($F$6-$D$6))-1)*100,0)</f>
        <v>3.951523609034191</v>
      </c>
      <c r="AH109" s="23" t="str">
        <f>AH35</f>
        <v>All occupations</v>
      </c>
      <c r="AI109" s="25">
        <f>IF(AND(AJ$6-AI$6 &lt;&gt; 0,AI35&lt;&gt;0,AJ35&lt;&gt;0),(EXP(LN(AJ35/AI35)/(AJ$6-AI$6))-1)*100,0)</f>
        <v>-3.9826319373048591E-3</v>
      </c>
      <c r="AJ109" s="25">
        <f>IF(AND(AK$6-AJ$6 &lt;&gt; 0,AJ35&lt;&gt;0,AK35&lt;&gt;0),(EXP(LN(AK35/AJ35)/(AK$6-AJ$6))-1)*100,0)</f>
        <v>4.3707543631153367</v>
      </c>
      <c r="AK109" s="25">
        <f>IF(AND(AL$6-AK$6 &lt;&gt; 0,AK35&lt;&gt;0,AL35&lt;&gt;0),(EXP(LN(AL35/AK35)/(AL$6-AK$6))-1)*100,0)</f>
        <v>-2.8310944542764283E-2</v>
      </c>
      <c r="AL109" s="25">
        <f>IF(AND(AM$6-AL$6 &lt;&gt; 0,AL35&lt;&gt;0,AM35&lt;&gt;0),(EXP(LN(AM35/AL35)/(AM$6-AL$6))-1)*100,0)</f>
        <v>0.93053657443715743</v>
      </c>
      <c r="AM109" s="25">
        <f>IF(AND(AM$6-AJ$6 &lt;&gt; 0,AJ35&lt;&gt;0,AM35&lt;&gt;0),(EXP(LN(AM35/AJ35)/(AM$6-AJ$6))-1)*100,0)</f>
        <v>0.84093457785192616</v>
      </c>
      <c r="AO109" s="25">
        <f t="shared" ref="AO109" si="267">IF($F$6-$D$6 &lt;&gt; 0,(EXP(LN(1+(AO72/100))/($F$6-$D$6))-1)*100,0)</f>
        <v>0.60990323423815163</v>
      </c>
      <c r="AP109" s="25">
        <f t="shared" ref="AP109" si="268">IF(AK35&gt;0,((1+(AP35/AK35))^(1/($F$6-$D$6))-1)*100,0)</f>
        <v>2.9870497124173667</v>
      </c>
      <c r="AQ109" s="25">
        <f t="shared" ref="AQ109" si="269">IF($F$6-$D$6 &lt;&gt; 0,(EXP(LN(1+(AQ72/100))/($F$6-$D$6))-1)*100,0)</f>
        <v>3.3970613931567861</v>
      </c>
      <c r="AS109" s="23" t="str">
        <f>AS35</f>
        <v>All occupations</v>
      </c>
      <c r="AT109" s="25">
        <f>IF(AND(AU$6-AT$6 &lt;&gt; 0,AT35&lt;&gt;0,AU35&lt;&gt;0),(EXP(LN(AU35/AT35)/(AU$6-AT$6))-1)*100,0)</f>
        <v>1.646822013896565</v>
      </c>
      <c r="AU109" s="25">
        <f>IF(AND(AV$6-AU$6 &lt;&gt; 0,AU35&lt;&gt;0,AV35&lt;&gt;0),(EXP(LN(AV35/AU35)/(AV$6-AU$6))-1)*100,0)</f>
        <v>5.2213007787472732</v>
      </c>
      <c r="AV109" s="25">
        <f>IF(AND(AW$6-AV$6 &lt;&gt; 0,AV35&lt;&gt;0,AW35&lt;&gt;0),(EXP(LN(AW35/AV35)/(AW$6-AV$6))-1)*100,0)</f>
        <v>0.82511957725723839</v>
      </c>
      <c r="AW109" s="25">
        <f>IF(AND(AX$6-AW$6 &lt;&gt; 0,AW35&lt;&gt;0,AX35&lt;&gt;0),(EXP(LN(AX35/AW35)/(AX$6-AW$6))-1)*100,0)</f>
        <v>1.2562548863707557</v>
      </c>
      <c r="AX109" s="25">
        <f>IF(AND(AX$6-AU$6 &lt;&gt; 0,AU35&lt;&gt;0,AX35&lt;&gt;0),(EXP(LN(AX35/AU35)/(AX$6-AU$6))-1)*100,0)</f>
        <v>1.3643815299632767</v>
      </c>
      <c r="AZ109" s="25">
        <f t="shared" ref="AZ109" si="270">IF($F$6-$D$6 &lt;&gt; 0,(EXP(LN(1+(AZ72/100))/($F$6-$D$6))-1)*100,0)</f>
        <v>1.1123386644444011</v>
      </c>
      <c r="BA109" s="25">
        <f t="shared" ref="BA109" si="271">IF(AV35&gt;0,((1+(BA35/AV35))^(1/($F$6-$D$6))-1)*100,0)</f>
        <v>3.0570599353747063</v>
      </c>
      <c r="BB109" s="25">
        <f t="shared" ref="BB109" si="272">IF($F$6-$D$6 &lt;&gt; 0,(EXP(LN(1+(BB72/100))/($F$6-$D$6))-1)*100,0)</f>
        <v>3.806986312245364</v>
      </c>
      <c r="BD109" s="23" t="str">
        <f>BD35</f>
        <v>All occupations</v>
      </c>
      <c r="BE109" s="25">
        <f>IF(AND(BF$6-BE$6 &lt;&gt; 0,BE35&lt;&gt;0,BF35&lt;&gt;0),(EXP(LN(BF35/BE35)/(BF$6-BE$6))-1)*100,0)</f>
        <v>0.84738367190446695</v>
      </c>
      <c r="BF109" s="25">
        <f>IF(AND(BG$6-BF$6 &lt;&gt; 0,BF35&lt;&gt;0,BG35&lt;&gt;0),(EXP(LN(BG35/BF35)/(BG$6-BF$6))-1)*100,0)</f>
        <v>0.17050321593488071</v>
      </c>
      <c r="BG109" s="25">
        <f>IF(AND(BH$6-BG$6 &lt;&gt; 0,BG35&lt;&gt;0,BH35&lt;&gt;0),(EXP(LN(BH35/BG35)/(BH$6-BG$6))-1)*100,0)</f>
        <v>-0.10587139790712019</v>
      </c>
      <c r="BH109" s="25">
        <f>IF(AND(BI$6-BH$6 &lt;&gt; 0,BH35&lt;&gt;0,BI35&lt;&gt;0),(EXP(LN(BI35/BH35)/(BI$6-BH$6))-1)*100,0)</f>
        <v>1.5380705206990974E-2</v>
      </c>
      <c r="BI109" s="25">
        <f>IF(AND(BI$6-BF$6 &lt;&gt; 0,BF35&lt;&gt;0,BI35&lt;&gt;0),(EXP(LN(BI35/BF35)/(BI$6-BF$6))-1)*100,0)</f>
        <v>-1.2841935171803431E-2</v>
      </c>
      <c r="BK109" s="25">
        <f t="shared" ref="BK109" si="273">IF($F$6-$D$6 &lt;&gt; 0,(EXP(LN(1+(BK72/100))/($F$6-$D$6))-1)*100,0)</f>
        <v>-2.5053006631259311E-2</v>
      </c>
      <c r="BL109" s="25">
        <f t="shared" ref="BL109" si="274">IF(BG35&gt;0,((1+(BL35/BG35))^(1/($F$6-$D$6))-1)*100,0)</f>
        <v>2.499829339556725</v>
      </c>
      <c r="BM109" s="25">
        <f t="shared" ref="BM109" si="275">IF($F$6-$D$6 &lt;&gt; 0,(EXP(LN(1+(BM72/100))/($F$6-$D$6))-1)*100,0)</f>
        <v>2.4821078622772719</v>
      </c>
      <c r="BO109" s="23" t="str">
        <f>BO35</f>
        <v>All occupations</v>
      </c>
      <c r="BP109" s="25">
        <f>IF(AND(BQ$6-BP$6 &lt;&gt; 0,BP35&lt;&gt;0,BQ35&lt;&gt;0),(EXP(LN(BQ35/BP35)/(BQ$6-BP$6))-1)*100,0)</f>
        <v>0.21168132727669153</v>
      </c>
      <c r="BQ109" s="25">
        <f>IF(AND(BR$6-BQ$6 &lt;&gt; 0,BQ35&lt;&gt;0,BR35&lt;&gt;0),(EXP(LN(BR35/BQ35)/(BR$6-BQ$6))-1)*100,0)</f>
        <v>-7.4425968692601767</v>
      </c>
      <c r="BR109" s="25">
        <f>IF(AND(BS$6-BR$6 &lt;&gt; 0,BR35&lt;&gt;0,BS35&lt;&gt;0),(EXP(LN(BS35/BR35)/(BS$6-BR$6))-1)*100,0)</f>
        <v>-0.74539927715957521</v>
      </c>
      <c r="BS109" s="25">
        <f>IF(AND(BT$6-BS$6 &lt;&gt; 0,BS35&lt;&gt;0,BT35&lt;&gt;0),(EXP(LN(BT35/BS35)/(BT$6-BS$6))-1)*100,0)</f>
        <v>-1.8208476954289954</v>
      </c>
      <c r="BT109" s="25">
        <f>IF(AND(BT$6-BQ$6 &lt;&gt; 0,BQ35&lt;&gt;0,BT35&lt;&gt;0),(EXP(LN(BT35/BQ35)/(BT$6-BQ$6))-1)*100,0)</f>
        <v>-1.8484135963247272</v>
      </c>
      <c r="BV109" s="25">
        <f t="shared" ref="BV109" si="276">IF($F$6-$D$6 &lt;&gt; 0,(EXP(LN(1+(BV72/100))/($F$6-$D$6))-1)*100,0)</f>
        <v>-1.4636659144030228</v>
      </c>
      <c r="BW109" s="25">
        <f t="shared" ref="BW109" si="277">IF(BR35&gt;0,((1+(BW35/BR35))^(1/($F$6-$D$6))-1)*100,0)</f>
        <v>2.3120849515789077</v>
      </c>
      <c r="BX109" s="25">
        <f t="shared" ref="BX109" si="278">IF($F$6-$D$6 &lt;&gt; 0,(EXP(LN(1+(BX72/100))/($F$6-$D$6))-1)*100,0)</f>
        <v>1.2820121911424787</v>
      </c>
      <c r="BZ109" s="23" t="str">
        <f>BZ35</f>
        <v>All occupations</v>
      </c>
      <c r="CA109" s="25">
        <f>IF(AND(CB$6-CA$6 &lt;&gt; 0,CA35&lt;&gt;0,CB35&lt;&gt;0),(EXP(LN(CB35/CA35)/(CB$6-CA$6))-1)*100,0)</f>
        <v>-0.794041056540018</v>
      </c>
      <c r="CB109" s="25">
        <f>IF(AND(CC$6-CB$6 &lt;&gt; 0,CB35&lt;&gt;0,CC35&lt;&gt;0),(EXP(LN(CC35/CB35)/(CC$6-CB$6))-1)*100,0)</f>
        <v>-9.4465497397291269</v>
      </c>
      <c r="CC109" s="25">
        <f>IF(AND(CD$6-CC$6 &lt;&gt; 0,CC35&lt;&gt;0,CD35&lt;&gt;0),(EXP(LN(CD35/CC35)/(CD$6-CC$6))-1)*100,0)</f>
        <v>-2.0900413940604712</v>
      </c>
      <c r="CD109" s="25">
        <f>IF(AND(CE$6-CD$6 &lt;&gt; 0,CD35&lt;&gt;0,CE35&lt;&gt;0),(EXP(LN(CE35/CD35)/(CE$6-CD$6))-1)*100,0)</f>
        <v>-4.0192495874246781</v>
      </c>
      <c r="CE109" s="25">
        <f>IF(AND(CE$6-CB$6 &lt;&gt; 0,CB35&lt;&gt;0,CE35&lt;&gt;0),(EXP(LN(CE35/CB35)/(CE$6-CB$6))-1)*100,0)</f>
        <v>-3.7712051632096455</v>
      </c>
      <c r="CG109" s="25">
        <f t="shared" ref="CG109" si="279">IF($F$6-$D$6 &lt;&gt; 0,(EXP(LN(1+(CG72/100))/($F$6-$D$6))-1)*100,0)</f>
        <v>-3.3804412669594552</v>
      </c>
      <c r="CH109" s="25">
        <f t="shared" ref="CH109" si="280">IF(CC35&gt;0,((1+(CH35/CC35))^(1/($F$6-$D$6))-1)*100,0)</f>
        <v>1.8200530331017761</v>
      </c>
      <c r="CI109" s="25">
        <f t="shared" ref="CI109" si="281">IF($F$6-$D$6 &lt;&gt; 0,(EXP(LN(1+(CI72/100))/($F$6-$D$6))-1)*100,0)</f>
        <v>-0.64359267420343036</v>
      </c>
      <c r="CK109" s="23" t="str">
        <f>CK35</f>
        <v>All occupations</v>
      </c>
      <c r="CL109" s="25">
        <f>IF(AND(CM$6-CL$6 &lt;&gt; 0,CL35&lt;&gt;0,CM35&lt;&gt;0),(EXP(LN(CM35/CL35)/(CM$6-CL$6))-1)*100,0)</f>
        <v>-2.6627944505365653</v>
      </c>
      <c r="CM109" s="25">
        <f>IF(AND(CN$6-CM$6 &lt;&gt; 0,CM35&lt;&gt;0,CN35&lt;&gt;0),(EXP(LN(CN35/CM35)/(CN$6-CM$6))-1)*100,0)</f>
        <v>-14.622888273112045</v>
      </c>
      <c r="CN109" s="25">
        <f>IF(AND(CO$6-CN$6 &lt;&gt; 0,CN35&lt;&gt;0,CO35&lt;&gt;0),(EXP(LN(CO35/CN35)/(CO$6-CN$6))-1)*100,0)</f>
        <v>-3.8371225706036904</v>
      </c>
      <c r="CO109" s="25">
        <f>IF(AND(CP$6-CO$6 &lt;&gt; 0,CO35&lt;&gt;0,CP35&lt;&gt;0),(EXP(LN(CP35/CO35)/(CP$6-CO$6))-1)*100,0)</f>
        <v>-2.9555109219204012</v>
      </c>
      <c r="CP109" s="25">
        <f>IF(AND(CP$6-CM$6 &lt;&gt; 0,CM35&lt;&gt;0,CP35&lt;&gt;0),(EXP(LN(CP35/CM35)/(CP$6-CM$6))-1)*100,0)</f>
        <v>-4.00348477442739</v>
      </c>
      <c r="CR109" s="25">
        <f t="shared" ref="CR109" si="282">IF($F$6-$D$6 &lt;&gt; 0,(EXP(LN(1+(CR72/100))/($F$6-$D$6))-1)*100,0)</f>
        <v>-3.25027589029111</v>
      </c>
      <c r="CS109" s="25">
        <f t="shared" ref="CS109" si="283">IF(CN35&gt;0,((1+(CS35/CN35))^(1/($F$6-$D$6))-1)*100,0)</f>
        <v>1.4648641498571813</v>
      </c>
      <c r="CT109" s="25">
        <f t="shared" ref="CT109" si="284">IF($F$6-$D$6 &lt;&gt; 0,(EXP(LN(1+(CT72/100))/($F$6-$D$6))-1)*100,0)</f>
        <v>-1.0548646627733804</v>
      </c>
    </row>
    <row r="112" spans="1:98" ht="47.25" customHeight="1" x14ac:dyDescent="0.3">
      <c r="A112" s="379" t="str">
        <f>CONCATENATE(A$1," (Continued)")</f>
        <v>Basic Table 2  Employment Change by Occupation and Replacement Demand, RQF8 Doctorate, 2015-2035, England (Continued)</v>
      </c>
      <c r="B112" s="379"/>
      <c r="C112" s="379"/>
      <c r="D112" s="379"/>
      <c r="E112" s="379"/>
      <c r="F112" s="379"/>
      <c r="G112" s="379"/>
      <c r="H112" s="379"/>
      <c r="I112" s="379"/>
      <c r="J112" s="379"/>
      <c r="L112" s="379" t="str">
        <f>CONCATENATE(L$1," (Continued)")</f>
        <v>Basic Table 2.1  Employment Change by Occupation and Replacement Demand, RQF7 Other higher degree, 2015-2035, England (Continued)</v>
      </c>
      <c r="M112" s="379"/>
      <c r="N112" s="379"/>
      <c r="O112" s="379"/>
      <c r="P112" s="379"/>
      <c r="Q112" s="379"/>
      <c r="R112" s="379"/>
      <c r="S112" s="379"/>
      <c r="T112" s="379"/>
      <c r="U112" s="379"/>
      <c r="W112" s="379" t="str">
        <f>CONCATENATE(W$1," (Continued)")</f>
        <v>Basic Table 2.2  Employment Change by Occupation and Replacement Demand, RQF6 First degree, 2015-2035, England (Continued)</v>
      </c>
      <c r="X112" s="379"/>
      <c r="Y112" s="379"/>
      <c r="Z112" s="379"/>
      <c r="AA112" s="379"/>
      <c r="AB112" s="379"/>
      <c r="AC112" s="379"/>
      <c r="AD112" s="379"/>
      <c r="AE112" s="379"/>
      <c r="AF112" s="379"/>
      <c r="AH112" s="379" t="str">
        <f>CONCATENATE(AH$1," (Continued)")</f>
        <v>Basic Table 2.3  Employment Change by Occupation and Replacement Demand, RQF5 Foundation degree;Nursing;Teaching, 2015-2035, England (Continued)</v>
      </c>
      <c r="AI112" s="379"/>
      <c r="AJ112" s="379"/>
      <c r="AK112" s="379"/>
      <c r="AL112" s="379"/>
      <c r="AM112" s="379"/>
      <c r="AN112" s="379"/>
      <c r="AO112" s="379"/>
      <c r="AP112" s="379"/>
      <c r="AQ112" s="379"/>
      <c r="AS112" s="379" t="str">
        <f>CONCATENATE(AS$1," (Continued)")</f>
        <v>Basic Table 2.4  Employment Change by Occupation and Replacement Demand, RQF4 HE below degree level, 2015-2035, England (Continued)</v>
      </c>
      <c r="AT112" s="379"/>
      <c r="AU112" s="379"/>
      <c r="AV112" s="379"/>
      <c r="AW112" s="379"/>
      <c r="AX112" s="379"/>
      <c r="AY112" s="379"/>
      <c r="AZ112" s="379"/>
      <c r="BA112" s="379"/>
      <c r="BB112" s="379"/>
      <c r="BD112" s="379" t="str">
        <f>CONCATENATE(BD$1," (Continued)")</f>
        <v>Basic Table 2.5  Employment Change by Occupation and Replacement Demand, RQF3 A level &amp; equivalent, 2015-2035, England (Continued)</v>
      </c>
      <c r="BE112" s="379"/>
      <c r="BF112" s="379"/>
      <c r="BG112" s="379"/>
      <c r="BH112" s="379"/>
      <c r="BI112" s="379"/>
      <c r="BJ112" s="379"/>
      <c r="BK112" s="379"/>
      <c r="BL112" s="379"/>
      <c r="BM112" s="379"/>
      <c r="BO112" s="379" t="str">
        <f>CONCATENATE(BO$1," (Continued)")</f>
        <v>Basic Table 2.6  Employment Change by Occupation and Replacement Demand, RQF2 GCSE(A-C) &amp; equivalent, 2015-2035, England (Continued)</v>
      </c>
      <c r="BP112" s="379"/>
      <c r="BQ112" s="379"/>
      <c r="BR112" s="379"/>
      <c r="BS112" s="379"/>
      <c r="BT112" s="379"/>
      <c r="BU112" s="379"/>
      <c r="BV112" s="379"/>
      <c r="BW112" s="379"/>
      <c r="BX112" s="379"/>
      <c r="BZ112" s="379" t="str">
        <f>CONCATENATE(BZ$1," (Continued)")</f>
        <v>Basic Table 2.7  Employment Change by Occupation and Replacement Demand, RQF1 GCSE(below grade C) &amp; equivalent, 2015-2035, England (Continued)</v>
      </c>
      <c r="CA112" s="379"/>
      <c r="CB112" s="379"/>
      <c r="CC112" s="379"/>
      <c r="CD112" s="379"/>
      <c r="CE112" s="379"/>
      <c r="CF112" s="379"/>
      <c r="CG112" s="379"/>
      <c r="CH112" s="379"/>
      <c r="CI112" s="379"/>
      <c r="CK112" s="379" t="str">
        <f>CONCATENATE(CK$1," (Continued)")</f>
        <v>Basic Table 2.8  Employment Change by Occupation and Replacement Demand, No Qualification, 2015-2035, England (Continued)</v>
      </c>
      <c r="CL112" s="379"/>
      <c r="CM112" s="379"/>
      <c r="CN112" s="379"/>
      <c r="CO112" s="379"/>
      <c r="CP112" s="379"/>
      <c r="CQ112" s="379"/>
      <c r="CR112" s="379"/>
      <c r="CS112" s="379"/>
      <c r="CT112" s="379"/>
    </row>
    <row r="114" spans="1:94" x14ac:dyDescent="0.3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3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3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3">
      <c r="A119" t="str">
        <f t="shared" ref="A119:A144" si="285">A8</f>
        <v>11 Corporate managers and directors</v>
      </c>
      <c r="B119" s="26">
        <f t="shared" ref="B119:E144" si="286">C8-B8</f>
        <v>10.297466990853096</v>
      </c>
      <c r="C119" s="26">
        <f t="shared" si="286"/>
        <v>1.7387970487923567</v>
      </c>
      <c r="D119" s="26">
        <f t="shared" si="286"/>
        <v>8.3984271902717325</v>
      </c>
      <c r="E119" s="26">
        <f t="shared" si="286"/>
        <v>22.456697432252199</v>
      </c>
      <c r="F119" s="26">
        <f t="shared" ref="F119:F144" si="287">F8-D8</f>
        <v>30.855124622523931</v>
      </c>
      <c r="L119" t="str">
        <f>A119</f>
        <v>11 Corporate managers and directors</v>
      </c>
      <c r="M119" s="26">
        <f t="shared" ref="M119:P144" si="288">N8-M8</f>
        <v>92.610123697340498</v>
      </c>
      <c r="N119" s="26">
        <f t="shared" si="288"/>
        <v>12.758611012795427</v>
      </c>
      <c r="O119" s="26">
        <f t="shared" si="288"/>
        <v>58.71623057801196</v>
      </c>
      <c r="P119" s="26">
        <f t="shared" si="288"/>
        <v>175.86282901798546</v>
      </c>
      <c r="Q119" s="26">
        <f t="shared" ref="Q119:Q144" si="289">Q8-O8</f>
        <v>234.57905959599742</v>
      </c>
      <c r="W119" t="str">
        <f>A119</f>
        <v>11 Corporate managers and directors</v>
      </c>
      <c r="X119" s="26">
        <f t="shared" ref="X119:AA144" si="290">Y8-X8</f>
        <v>109.54148758799317</v>
      </c>
      <c r="Y119" s="26">
        <f t="shared" si="290"/>
        <v>14.133667531659057</v>
      </c>
      <c r="Z119" s="26">
        <f t="shared" si="290"/>
        <v>-28.837113763376237</v>
      </c>
      <c r="AA119" s="26">
        <f t="shared" si="290"/>
        <v>75.13702308230188</v>
      </c>
      <c r="AB119" s="26">
        <f t="shared" ref="AB119:AB144" si="291">AB8-Z8</f>
        <v>46.299909318925643</v>
      </c>
      <c r="AH119" t="str">
        <f>L119</f>
        <v>11 Corporate managers and directors</v>
      </c>
      <c r="AI119" s="26">
        <f t="shared" ref="AI119:AL144" si="292">AJ8-AI8</f>
        <v>13.647144011872555</v>
      </c>
      <c r="AJ119" s="26">
        <f t="shared" si="292"/>
        <v>7.890277938151101</v>
      </c>
      <c r="AK119" s="26">
        <f t="shared" si="292"/>
        <v>-11.022580939463595</v>
      </c>
      <c r="AL119" s="26">
        <f t="shared" si="292"/>
        <v>8.3186340103636525</v>
      </c>
      <c r="AM119" s="26">
        <f t="shared" ref="AM119:AM144" si="293">AM8-AK8</f>
        <v>-2.7039469290999421</v>
      </c>
      <c r="AS119" t="str">
        <f>W119</f>
        <v>11 Corporate managers and directors</v>
      </c>
      <c r="AT119" s="26">
        <f t="shared" ref="AT119:AW144" si="294">AU8-AT8</f>
        <v>20.980969766542785</v>
      </c>
      <c r="AU119" s="26">
        <f t="shared" si="294"/>
        <v>10.444573538958167</v>
      </c>
      <c r="AV119" s="26">
        <f t="shared" si="294"/>
        <v>-18.534154353201103</v>
      </c>
      <c r="AW119" s="26">
        <f t="shared" si="294"/>
        <v>12.89959401177822</v>
      </c>
      <c r="AX119" s="26">
        <f t="shared" ref="AX119:AX144" si="295">AX8-AV8</f>
        <v>-5.6345603414228833</v>
      </c>
      <c r="BD119" t="str">
        <f>AH119</f>
        <v>11 Corporate managers and directors</v>
      </c>
      <c r="BE119" s="26">
        <f t="shared" ref="BE119:BH144" si="296">BF8-BE8</f>
        <v>49.731569228119781</v>
      </c>
      <c r="BF119" s="26">
        <f t="shared" si="296"/>
        <v>17.466716560267571</v>
      </c>
      <c r="BG119" s="26">
        <f t="shared" si="296"/>
        <v>-59.869850005406704</v>
      </c>
      <c r="BH119" s="26">
        <f t="shared" si="296"/>
        <v>8.8946994217471911</v>
      </c>
      <c r="BI119" s="26">
        <f t="shared" ref="BI119:BI144" si="297">BI8-BG8</f>
        <v>-50.975150583659513</v>
      </c>
      <c r="BO119" t="str">
        <f>AS119</f>
        <v>11 Corporate managers and directors</v>
      </c>
      <c r="BP119" s="26">
        <f t="shared" ref="BP119:BS144" si="298">BQ8-BP8</f>
        <v>29.355021683835616</v>
      </c>
      <c r="BQ119" s="26">
        <f t="shared" si="298"/>
        <v>-10.774159456005805</v>
      </c>
      <c r="BR119" s="26">
        <f t="shared" si="298"/>
        <v>-53.71667761463263</v>
      </c>
      <c r="BS119" s="26">
        <f t="shared" si="298"/>
        <v>-53.82060429557626</v>
      </c>
      <c r="BT119" s="26">
        <f t="shared" ref="BT119:BT144" si="299">BT8-BR8</f>
        <v>-107.53728191020889</v>
      </c>
      <c r="BZ119" t="str">
        <f>BD119</f>
        <v>11 Corporate managers and directors</v>
      </c>
      <c r="CA119" s="67">
        <f t="shared" ref="CA119:CD144" si="300">CB8-CA8</f>
        <v>21.105181698937372</v>
      </c>
      <c r="CB119" s="67">
        <f t="shared" si="300"/>
        <v>-1.4137122973367866</v>
      </c>
      <c r="CC119" s="67">
        <f t="shared" si="300"/>
        <v>-25.034305873936717</v>
      </c>
      <c r="CD119" s="67">
        <f t="shared" si="300"/>
        <v>-45.76175143459642</v>
      </c>
      <c r="CE119" s="67">
        <f t="shared" ref="CE119:CE144" si="301">CE8-CC8</f>
        <v>-70.796057308533136</v>
      </c>
      <c r="CK119" t="str">
        <f>BO119</f>
        <v>11 Corporate managers and directors</v>
      </c>
      <c r="CL119" s="67">
        <f t="shared" ref="CL119:CO144" si="302">CM8-CL8</f>
        <v>5.7408722767202249</v>
      </c>
      <c r="CM119" s="67">
        <f t="shared" si="302"/>
        <v>-3.8250621975513184</v>
      </c>
      <c r="CN119" s="67">
        <f t="shared" si="302"/>
        <v>-7.22613532078541</v>
      </c>
      <c r="CO119" s="67">
        <f t="shared" si="302"/>
        <v>-3.0129883340094921E-2</v>
      </c>
      <c r="CP119" s="67">
        <f t="shared" ref="CP119:CP144" si="303">CP8-CN8</f>
        <v>-7.2562652041255049</v>
      </c>
    </row>
    <row r="120" spans="1:94" x14ac:dyDescent="0.3">
      <c r="A120" t="str">
        <f t="shared" si="285"/>
        <v>12 Other managers and proprietors</v>
      </c>
      <c r="B120" s="26">
        <f t="shared" si="286"/>
        <v>3.4599815219143402</v>
      </c>
      <c r="C120" s="26">
        <f t="shared" si="286"/>
        <v>-0.41343419360239864</v>
      </c>
      <c r="D120" s="26">
        <f t="shared" si="286"/>
        <v>9.0240445649076513</v>
      </c>
      <c r="E120" s="26">
        <f t="shared" si="286"/>
        <v>14.08844720654713</v>
      </c>
      <c r="F120" s="26">
        <f t="shared" si="287"/>
        <v>23.112491771454781</v>
      </c>
      <c r="L120" t="str">
        <f t="shared" ref="L120:L143" si="304">A120</f>
        <v>12 Other managers and proprietors</v>
      </c>
      <c r="M120" s="26">
        <f t="shared" si="288"/>
        <v>27.853947013843111</v>
      </c>
      <c r="N120" s="26">
        <f t="shared" si="288"/>
        <v>4.0223998653732451</v>
      </c>
      <c r="O120" s="26">
        <f t="shared" si="288"/>
        <v>69.874921384868742</v>
      </c>
      <c r="P120" s="26">
        <f t="shared" si="288"/>
        <v>111.38208170490191</v>
      </c>
      <c r="Q120" s="26">
        <f t="shared" si="289"/>
        <v>181.25700308977065</v>
      </c>
      <c r="W120" t="str">
        <f t="shared" ref="W120:W143" si="305">A120</f>
        <v>12 Other managers and proprietors</v>
      </c>
      <c r="X120" s="26">
        <f t="shared" si="290"/>
        <v>19.897981369166075</v>
      </c>
      <c r="Y120" s="26">
        <f t="shared" si="290"/>
        <v>6.8509631622445397</v>
      </c>
      <c r="Z120" s="26">
        <f t="shared" si="290"/>
        <v>69.312417563779974</v>
      </c>
      <c r="AA120" s="26">
        <f t="shared" si="290"/>
        <v>67.714445651460835</v>
      </c>
      <c r="AB120" s="26">
        <f t="shared" si="291"/>
        <v>137.02686321524081</v>
      </c>
      <c r="AH120" t="str">
        <f t="shared" ref="AH120:AH143" si="306">L120</f>
        <v>12 Other managers and proprietors</v>
      </c>
      <c r="AI120" s="26">
        <f t="shared" si="292"/>
        <v>5.5593597871166196</v>
      </c>
      <c r="AJ120" s="26">
        <f t="shared" si="292"/>
        <v>5.4858779618872688</v>
      </c>
      <c r="AK120" s="26">
        <f t="shared" si="292"/>
        <v>14.180220629327678</v>
      </c>
      <c r="AL120" s="26">
        <f t="shared" si="292"/>
        <v>17.771255849740029</v>
      </c>
      <c r="AM120" s="26">
        <f t="shared" si="293"/>
        <v>31.951476479067708</v>
      </c>
      <c r="AS120" t="str">
        <f t="shared" ref="AS120:AS143" si="307">W120</f>
        <v>12 Other managers and proprietors</v>
      </c>
      <c r="AT120" s="26">
        <f t="shared" si="294"/>
        <v>5.3372941366012299</v>
      </c>
      <c r="AU120" s="26">
        <f t="shared" si="294"/>
        <v>3.3353871032592082</v>
      </c>
      <c r="AV120" s="26">
        <f t="shared" si="294"/>
        <v>19.420430069349962</v>
      </c>
      <c r="AW120" s="26">
        <f t="shared" si="294"/>
        <v>15.091578570414143</v>
      </c>
      <c r="AX120" s="26">
        <f t="shared" si="295"/>
        <v>34.512008639764105</v>
      </c>
      <c r="BD120" t="str">
        <f t="shared" ref="BD120:BD143" si="308">AH120</f>
        <v>12 Other managers and proprietors</v>
      </c>
      <c r="BE120" s="26">
        <f t="shared" si="296"/>
        <v>-3.7748518339422219</v>
      </c>
      <c r="BF120" s="26">
        <f t="shared" si="296"/>
        <v>6.0308983347928518</v>
      </c>
      <c r="BG120" s="26">
        <f t="shared" si="296"/>
        <v>19.15129654547863</v>
      </c>
      <c r="BH120" s="26">
        <f t="shared" si="296"/>
        <v>9.8302997784492732</v>
      </c>
      <c r="BI120" s="26">
        <f t="shared" si="297"/>
        <v>28.981596323927903</v>
      </c>
      <c r="BO120" t="str">
        <f t="shared" ref="BO120:BO143" si="309">AS120</f>
        <v>12 Other managers and proprietors</v>
      </c>
      <c r="BP120" s="26">
        <f t="shared" si="298"/>
        <v>6.398516796502463</v>
      </c>
      <c r="BQ120" s="26">
        <f t="shared" si="298"/>
        <v>-6.0749520178076182</v>
      </c>
      <c r="BR120" s="26">
        <f t="shared" si="298"/>
        <v>25.122897142254004</v>
      </c>
      <c r="BS120" s="26">
        <f t="shared" si="298"/>
        <v>-16.630001333927908</v>
      </c>
      <c r="BT120" s="26">
        <f t="shared" si="299"/>
        <v>8.4928958083260966</v>
      </c>
      <c r="BZ120" t="str">
        <f t="shared" ref="BZ120:BZ143" si="310">BD120</f>
        <v>12 Other managers and proprietors</v>
      </c>
      <c r="CA120" s="67">
        <f t="shared" si="300"/>
        <v>2.9297870764134331</v>
      </c>
      <c r="CB120" s="67">
        <f t="shared" si="300"/>
        <v>-7.4222556906685213</v>
      </c>
      <c r="CC120" s="67">
        <f t="shared" si="300"/>
        <v>7.724876829308343</v>
      </c>
      <c r="CD120" s="67">
        <f t="shared" si="300"/>
        <v>-28.696607318178891</v>
      </c>
      <c r="CE120" s="67">
        <f t="shared" si="301"/>
        <v>-20.971730488870548</v>
      </c>
      <c r="CK120" t="str">
        <f t="shared" ref="CK120:CK143" si="311">BO120</f>
        <v>12 Other managers and proprietors</v>
      </c>
      <c r="CL120" s="67">
        <f t="shared" si="302"/>
        <v>-1.8391162412623245</v>
      </c>
      <c r="CM120" s="67">
        <f t="shared" si="302"/>
        <v>-4.0592323919333992</v>
      </c>
      <c r="CN120" s="67">
        <f t="shared" si="302"/>
        <v>7.0200032738096851</v>
      </c>
      <c r="CO120" s="67">
        <f t="shared" si="302"/>
        <v>0.98520140420288982</v>
      </c>
      <c r="CP120" s="67">
        <f t="shared" si="303"/>
        <v>8.005204678012575</v>
      </c>
    </row>
    <row r="121" spans="1:94" x14ac:dyDescent="0.3">
      <c r="A121" t="str">
        <f t="shared" si="285"/>
        <v>21 Science, research, engineering and technology professionals</v>
      </c>
      <c r="B121" s="26">
        <f t="shared" si="286"/>
        <v>22.694537909527213</v>
      </c>
      <c r="C121" s="26">
        <f t="shared" si="286"/>
        <v>1.6847542448763306</v>
      </c>
      <c r="D121" s="26">
        <f t="shared" si="286"/>
        <v>24.931081171466715</v>
      </c>
      <c r="E121" s="26">
        <f t="shared" si="286"/>
        <v>40.59678550384784</v>
      </c>
      <c r="F121" s="26">
        <f t="shared" si="287"/>
        <v>65.527866675314556</v>
      </c>
      <c r="L121" t="str">
        <f t="shared" si="304"/>
        <v>21 Science, research, engineering and technology professionals</v>
      </c>
      <c r="M121" s="26">
        <f t="shared" si="288"/>
        <v>105.60301048447786</v>
      </c>
      <c r="N121" s="26">
        <f t="shared" si="288"/>
        <v>23.943045797676859</v>
      </c>
      <c r="O121" s="26">
        <f t="shared" si="288"/>
        <v>130.95058430526922</v>
      </c>
      <c r="P121" s="26">
        <f t="shared" si="288"/>
        <v>217.6978608941364</v>
      </c>
      <c r="Q121" s="26">
        <f t="shared" si="289"/>
        <v>348.64844519940561</v>
      </c>
      <c r="W121" t="str">
        <f t="shared" si="305"/>
        <v>21 Science, research, engineering and technology professionals</v>
      </c>
      <c r="X121" s="26">
        <f t="shared" si="290"/>
        <v>55.785951649365188</v>
      </c>
      <c r="Y121" s="26">
        <f t="shared" si="290"/>
        <v>23.7042512610426</v>
      </c>
      <c r="Z121" s="26">
        <f t="shared" si="290"/>
        <v>13.443796063516629</v>
      </c>
      <c r="AA121" s="26">
        <f t="shared" si="290"/>
        <v>18.054711821256319</v>
      </c>
      <c r="AB121" s="26">
        <f t="shared" si="291"/>
        <v>31.498507884772948</v>
      </c>
      <c r="AH121" t="str">
        <f t="shared" si="306"/>
        <v>21 Science, research, engineering and technology professionals</v>
      </c>
      <c r="AI121" s="26">
        <f t="shared" si="292"/>
        <v>4.6721990012156169</v>
      </c>
      <c r="AJ121" s="26">
        <f t="shared" si="292"/>
        <v>6.2349923037388635</v>
      </c>
      <c r="AK121" s="26">
        <f t="shared" si="292"/>
        <v>2.2233367265971822</v>
      </c>
      <c r="AL121" s="26">
        <f t="shared" si="292"/>
        <v>6.1586785337724024</v>
      </c>
      <c r="AM121" s="26">
        <f t="shared" si="293"/>
        <v>8.3820152603695846</v>
      </c>
      <c r="AS121" t="str">
        <f t="shared" si="307"/>
        <v>21 Science, research, engineering and technology professionals</v>
      </c>
      <c r="AT121" s="26">
        <f t="shared" si="294"/>
        <v>10.402969350651603</v>
      </c>
      <c r="AU121" s="26">
        <f t="shared" si="294"/>
        <v>6.5575639209214103</v>
      </c>
      <c r="AV121" s="26">
        <f t="shared" si="294"/>
        <v>-9.717093462590725</v>
      </c>
      <c r="AW121" s="26">
        <f t="shared" si="294"/>
        <v>-1.3330464810269689</v>
      </c>
      <c r="AX121" s="26">
        <f t="shared" si="295"/>
        <v>-11.050139943617694</v>
      </c>
      <c r="BD121" t="str">
        <f t="shared" si="308"/>
        <v>21 Science, research, engineering and technology professionals</v>
      </c>
      <c r="BE121" s="26">
        <f t="shared" si="296"/>
        <v>15.02184095513698</v>
      </c>
      <c r="BF121" s="26">
        <f t="shared" si="296"/>
        <v>13.408466313894991</v>
      </c>
      <c r="BG121" s="26">
        <f t="shared" si="296"/>
        <v>-24.78426140048802</v>
      </c>
      <c r="BH121" s="26">
        <f t="shared" si="296"/>
        <v>-10.486001494964199</v>
      </c>
      <c r="BI121" s="26">
        <f t="shared" si="297"/>
        <v>-35.27026289545222</v>
      </c>
      <c r="BO121" t="str">
        <f t="shared" si="309"/>
        <v>21 Science, research, engineering and technology professionals</v>
      </c>
      <c r="BP121" s="26">
        <f t="shared" si="298"/>
        <v>11.850766846632865</v>
      </c>
      <c r="BQ121" s="26">
        <f t="shared" si="298"/>
        <v>1.3586900168014893</v>
      </c>
      <c r="BR121" s="26">
        <f t="shared" si="298"/>
        <v>-12.384930778633901</v>
      </c>
      <c r="BS121" s="26">
        <f t="shared" si="298"/>
        <v>-22.50472286114983</v>
      </c>
      <c r="BT121" s="26">
        <f t="shared" si="299"/>
        <v>-34.889653639783731</v>
      </c>
      <c r="BZ121" t="str">
        <f t="shared" si="310"/>
        <v>21 Science, research, engineering and technology professionals</v>
      </c>
      <c r="CA121" s="67">
        <f t="shared" si="300"/>
        <v>8.5243502862710159</v>
      </c>
      <c r="CB121" s="67">
        <f t="shared" si="300"/>
        <v>-1.6379078516148979</v>
      </c>
      <c r="CC121" s="67">
        <f t="shared" si="300"/>
        <v>-6.6045373391087594</v>
      </c>
      <c r="CD121" s="67">
        <f t="shared" si="300"/>
        <v>-29.479447305672679</v>
      </c>
      <c r="CE121" s="67">
        <f t="shared" si="301"/>
        <v>-36.083984644781438</v>
      </c>
      <c r="CK121" t="str">
        <f t="shared" si="311"/>
        <v>21 Science, research, engineering and technology professionals</v>
      </c>
      <c r="CL121" s="67">
        <f t="shared" si="302"/>
        <v>4.634869276792589</v>
      </c>
      <c r="CM121" s="67">
        <f t="shared" si="302"/>
        <v>-0.52643374004754762</v>
      </c>
      <c r="CN121" s="67">
        <f t="shared" si="302"/>
        <v>3.5779409933847326</v>
      </c>
      <c r="CO121" s="67">
        <f t="shared" si="302"/>
        <v>2.0946285695143914</v>
      </c>
      <c r="CP121" s="67">
        <f t="shared" si="303"/>
        <v>5.672569562899124</v>
      </c>
    </row>
    <row r="122" spans="1:94" x14ac:dyDescent="0.3">
      <c r="A122" t="str">
        <f t="shared" si="285"/>
        <v>22 Health professionals</v>
      </c>
      <c r="B122" s="26">
        <f t="shared" si="286"/>
        <v>25.060807420174839</v>
      </c>
      <c r="C122" s="26">
        <f t="shared" si="286"/>
        <v>1.3833944405396323</v>
      </c>
      <c r="D122" s="26">
        <f t="shared" si="286"/>
        <v>29.811513712047528</v>
      </c>
      <c r="E122" s="26">
        <f t="shared" si="286"/>
        <v>46.333091328525498</v>
      </c>
      <c r="F122" s="26">
        <f t="shared" si="287"/>
        <v>76.144605040573026</v>
      </c>
      <c r="L122" t="str">
        <f t="shared" si="304"/>
        <v>22 Health professionals</v>
      </c>
      <c r="M122" s="26">
        <f t="shared" si="288"/>
        <v>76.243875628602552</v>
      </c>
      <c r="N122" s="26">
        <f t="shared" si="288"/>
        <v>1.9094839624638098</v>
      </c>
      <c r="O122" s="26">
        <f t="shared" si="288"/>
        <v>76.388049062222308</v>
      </c>
      <c r="P122" s="26">
        <f t="shared" si="288"/>
        <v>118.29473575865342</v>
      </c>
      <c r="Q122" s="26">
        <f t="shared" si="289"/>
        <v>194.68278482087572</v>
      </c>
      <c r="W122" t="str">
        <f t="shared" si="305"/>
        <v>22 Health professionals</v>
      </c>
      <c r="X122" s="26">
        <f t="shared" si="290"/>
        <v>71.476536347399531</v>
      </c>
      <c r="Y122" s="26">
        <f t="shared" si="290"/>
        <v>12.244927355195159</v>
      </c>
      <c r="Z122" s="26">
        <f t="shared" si="290"/>
        <v>49.747549252912336</v>
      </c>
      <c r="AA122" s="26">
        <f t="shared" si="290"/>
        <v>46.365357127052675</v>
      </c>
      <c r="AB122" s="26">
        <f t="shared" si="291"/>
        <v>96.112906379965011</v>
      </c>
      <c r="AH122" t="str">
        <f t="shared" si="306"/>
        <v>22 Health professionals</v>
      </c>
      <c r="AI122" s="26">
        <f t="shared" si="292"/>
        <v>-45.135411623385181</v>
      </c>
      <c r="AJ122" s="26">
        <f t="shared" si="292"/>
        <v>-12.719163892542838</v>
      </c>
      <c r="AK122" s="26">
        <f t="shared" si="292"/>
        <v>-65.192785407503976</v>
      </c>
      <c r="AL122" s="26">
        <f t="shared" si="292"/>
        <v>-60.103206422767222</v>
      </c>
      <c r="AM122" s="26">
        <f t="shared" si="293"/>
        <v>-125.29599183027119</v>
      </c>
      <c r="AS122" t="str">
        <f t="shared" si="307"/>
        <v>22 Health professionals</v>
      </c>
      <c r="AT122" s="26">
        <f t="shared" si="294"/>
        <v>4.4843766916553953</v>
      </c>
      <c r="AU122" s="26">
        <f t="shared" si="294"/>
        <v>4.3425284232316557</v>
      </c>
      <c r="AV122" s="26">
        <f t="shared" si="294"/>
        <v>1.8723365221485722</v>
      </c>
      <c r="AW122" s="26">
        <f t="shared" si="294"/>
        <v>3.7864228476785016</v>
      </c>
      <c r="AX122" s="26">
        <f t="shared" si="295"/>
        <v>5.6587593698270737</v>
      </c>
      <c r="BD122" t="str">
        <f t="shared" si="308"/>
        <v>22 Health professionals</v>
      </c>
      <c r="BE122" s="26">
        <f t="shared" si="296"/>
        <v>27.337109616793327</v>
      </c>
      <c r="BF122" s="26">
        <f t="shared" si="296"/>
        <v>2.6462606106069586</v>
      </c>
      <c r="BG122" s="26">
        <f t="shared" si="296"/>
        <v>13.253857091701377</v>
      </c>
      <c r="BH122" s="26">
        <f t="shared" si="296"/>
        <v>8.7920195337751466</v>
      </c>
      <c r="BI122" s="26">
        <f t="shared" si="297"/>
        <v>22.045876625476524</v>
      </c>
      <c r="BO122" t="str">
        <f t="shared" si="309"/>
        <v>22 Health professionals</v>
      </c>
      <c r="BP122" s="26">
        <f t="shared" si="298"/>
        <v>14.610147663220332</v>
      </c>
      <c r="BQ122" s="26">
        <f t="shared" si="298"/>
        <v>-3.5674176027476108</v>
      </c>
      <c r="BR122" s="26">
        <f t="shared" si="298"/>
        <v>-0.54297566931589358</v>
      </c>
      <c r="BS122" s="26">
        <f t="shared" si="298"/>
        <v>-19.599007775718817</v>
      </c>
      <c r="BT122" s="26">
        <f t="shared" si="299"/>
        <v>-20.141983445034711</v>
      </c>
      <c r="BZ122" t="str">
        <f t="shared" si="310"/>
        <v>22 Health professionals</v>
      </c>
      <c r="CA122" s="67">
        <f t="shared" si="300"/>
        <v>9.3320514208850085</v>
      </c>
      <c r="CB122" s="67">
        <f t="shared" si="300"/>
        <v>-7.2134465054475712</v>
      </c>
      <c r="CC122" s="67">
        <f t="shared" si="300"/>
        <v>-1.2400615975526321</v>
      </c>
      <c r="CD122" s="67">
        <f t="shared" si="300"/>
        <v>-19.00728132121527</v>
      </c>
      <c r="CE122" s="67">
        <f t="shared" si="301"/>
        <v>-20.247342918767902</v>
      </c>
      <c r="CK122" t="str">
        <f t="shared" si="311"/>
        <v>22 Health professionals</v>
      </c>
      <c r="CL122" s="67">
        <f t="shared" si="302"/>
        <v>1.8043307285090018</v>
      </c>
      <c r="CM122" s="67">
        <f t="shared" si="302"/>
        <v>5.4776309595658823E-2</v>
      </c>
      <c r="CN122" s="67">
        <f t="shared" si="302"/>
        <v>2.1317251404829189</v>
      </c>
      <c r="CO122" s="67">
        <f t="shared" si="302"/>
        <v>3.6050043196972066</v>
      </c>
      <c r="CP122" s="67">
        <f t="shared" si="303"/>
        <v>5.7367294601801255</v>
      </c>
    </row>
    <row r="123" spans="1:94" x14ac:dyDescent="0.3">
      <c r="A123" t="str">
        <f t="shared" si="285"/>
        <v>23 Teaching and other educational professionals</v>
      </c>
      <c r="B123" s="26">
        <f t="shared" si="286"/>
        <v>18.567535296694984</v>
      </c>
      <c r="C123" s="26">
        <f t="shared" si="286"/>
        <v>4.4154286931054116</v>
      </c>
      <c r="D123" s="26">
        <f t="shared" si="286"/>
        <v>22.063353415848411</v>
      </c>
      <c r="E123" s="26">
        <f t="shared" si="286"/>
        <v>35.133387688168483</v>
      </c>
      <c r="F123" s="26">
        <f t="shared" si="287"/>
        <v>57.196741104016894</v>
      </c>
      <c r="L123" t="str">
        <f t="shared" si="304"/>
        <v>23 Teaching and other educational professionals</v>
      </c>
      <c r="M123" s="26">
        <f t="shared" si="288"/>
        <v>122.61433085703823</v>
      </c>
      <c r="N123" s="26">
        <f t="shared" si="288"/>
        <v>25.702422985062299</v>
      </c>
      <c r="O123" s="26">
        <f t="shared" si="288"/>
        <v>115.44767576457195</v>
      </c>
      <c r="P123" s="26">
        <f t="shared" si="288"/>
        <v>178.4757947361212</v>
      </c>
      <c r="Q123" s="26">
        <f t="shared" si="289"/>
        <v>293.92347050069316</v>
      </c>
      <c r="W123" t="str">
        <f t="shared" si="305"/>
        <v>23 Teaching and other educational professionals</v>
      </c>
      <c r="X123" s="26">
        <f t="shared" si="290"/>
        <v>-43.284486160291351</v>
      </c>
      <c r="Y123" s="26">
        <f t="shared" si="290"/>
        <v>21.640829314990526</v>
      </c>
      <c r="Z123" s="26">
        <f t="shared" si="290"/>
        <v>-61.103027291648516</v>
      </c>
      <c r="AA123" s="26">
        <f t="shared" si="290"/>
        <v>-68.844093321689911</v>
      </c>
      <c r="AB123" s="26">
        <f t="shared" si="291"/>
        <v>-129.94712061333843</v>
      </c>
      <c r="AH123" t="str">
        <f t="shared" si="306"/>
        <v>23 Teaching and other educational professionals</v>
      </c>
      <c r="AI123" s="26">
        <f t="shared" si="292"/>
        <v>-23.592182234555032</v>
      </c>
      <c r="AJ123" s="26">
        <f t="shared" si="292"/>
        <v>-2.1196456451962256</v>
      </c>
      <c r="AK123" s="26">
        <f t="shared" si="292"/>
        <v>-9.8301274466820026</v>
      </c>
      <c r="AL123" s="26">
        <f t="shared" si="292"/>
        <v>3.0926334475893213E-2</v>
      </c>
      <c r="AM123" s="26">
        <f t="shared" si="293"/>
        <v>-9.7992011122061093</v>
      </c>
      <c r="AS123" t="str">
        <f t="shared" si="307"/>
        <v>23 Teaching and other educational professionals</v>
      </c>
      <c r="AT123" s="26">
        <f t="shared" si="294"/>
        <v>2.2192195194630671E-2</v>
      </c>
      <c r="AU123" s="26">
        <f t="shared" si="294"/>
        <v>1.0708101119699371</v>
      </c>
      <c r="AV123" s="26">
        <f t="shared" si="294"/>
        <v>-2.1176119016200197</v>
      </c>
      <c r="AW123" s="26">
        <f t="shared" si="294"/>
        <v>-1.2783376517838043</v>
      </c>
      <c r="AX123" s="26">
        <f t="shared" si="295"/>
        <v>-3.395949553403824</v>
      </c>
      <c r="BD123" t="str">
        <f t="shared" si="308"/>
        <v>23 Teaching and other educational professionals</v>
      </c>
      <c r="BE123" s="26">
        <f t="shared" si="296"/>
        <v>1.7694036025531332</v>
      </c>
      <c r="BF123" s="26">
        <f t="shared" si="296"/>
        <v>6.5866498493365881</v>
      </c>
      <c r="BG123" s="26">
        <f t="shared" si="296"/>
        <v>0.10190737190326615</v>
      </c>
      <c r="BH123" s="26">
        <f t="shared" si="296"/>
        <v>6.178084583110234</v>
      </c>
      <c r="BI123" s="26">
        <f t="shared" si="297"/>
        <v>6.2799919550135002</v>
      </c>
      <c r="BO123" t="str">
        <f t="shared" si="309"/>
        <v>23 Teaching and other educational professionals</v>
      </c>
      <c r="BP123" s="26">
        <f t="shared" si="298"/>
        <v>1.3252036531369598</v>
      </c>
      <c r="BQ123" s="26">
        <f t="shared" si="298"/>
        <v>0.11877109318217549</v>
      </c>
      <c r="BR123" s="26">
        <f t="shared" si="298"/>
        <v>-2.5803823454850274</v>
      </c>
      <c r="BS123" s="26">
        <f t="shared" si="298"/>
        <v>-5.4417659296430188</v>
      </c>
      <c r="BT123" s="26">
        <f t="shared" si="299"/>
        <v>-8.0221482751280462</v>
      </c>
      <c r="BZ123" t="str">
        <f t="shared" si="310"/>
        <v>23 Teaching and other educational professionals</v>
      </c>
      <c r="CA123" s="67">
        <f t="shared" si="300"/>
        <v>1.063192338242132</v>
      </c>
      <c r="CB123" s="67">
        <f t="shared" si="300"/>
        <v>0.89868223415528803</v>
      </c>
      <c r="CC123" s="67">
        <f t="shared" si="300"/>
        <v>-1.6319781313880064</v>
      </c>
      <c r="CD123" s="67">
        <f t="shared" si="300"/>
        <v>-6.2337169643254953</v>
      </c>
      <c r="CE123" s="67">
        <f t="shared" si="301"/>
        <v>-7.8656950957135017</v>
      </c>
      <c r="CK123" t="str">
        <f t="shared" si="311"/>
        <v>23 Teaching and other educational professionals</v>
      </c>
      <c r="CL123" s="67">
        <f t="shared" si="302"/>
        <v>1.0046578115509384</v>
      </c>
      <c r="CM123" s="67">
        <f t="shared" si="302"/>
        <v>0.95176618782241729</v>
      </c>
      <c r="CN123" s="67">
        <f t="shared" si="302"/>
        <v>0.91819761844489278</v>
      </c>
      <c r="CO123" s="67">
        <f t="shared" si="302"/>
        <v>-0.45334839865389398</v>
      </c>
      <c r="CP123" s="67">
        <f t="shared" si="303"/>
        <v>0.4648492197909988</v>
      </c>
    </row>
    <row r="124" spans="1:94" x14ac:dyDescent="0.3">
      <c r="A124" t="str">
        <f t="shared" si="285"/>
        <v>24 Business, media and public service professionals</v>
      </c>
      <c r="B124" s="26">
        <f t="shared" si="286"/>
        <v>12.303237414088308</v>
      </c>
      <c r="C124" s="26">
        <f t="shared" si="286"/>
        <v>3.3752811994995326</v>
      </c>
      <c r="D124" s="26">
        <f t="shared" si="286"/>
        <v>20.806997183478039</v>
      </c>
      <c r="E124" s="26">
        <f t="shared" si="286"/>
        <v>33.864524526204534</v>
      </c>
      <c r="F124" s="26">
        <f t="shared" si="287"/>
        <v>54.671521709682573</v>
      </c>
      <c r="L124" t="str">
        <f t="shared" si="304"/>
        <v>24 Business, media and public service professionals</v>
      </c>
      <c r="M124" s="26">
        <f t="shared" si="288"/>
        <v>154.93201053451691</v>
      </c>
      <c r="N124" s="26">
        <f t="shared" si="288"/>
        <v>38.406419193474221</v>
      </c>
      <c r="O124" s="26">
        <f t="shared" si="288"/>
        <v>201.52540787973123</v>
      </c>
      <c r="P124" s="26">
        <f t="shared" si="288"/>
        <v>302.2215644121153</v>
      </c>
      <c r="Q124" s="26">
        <f t="shared" si="289"/>
        <v>503.74697229184653</v>
      </c>
      <c r="W124" t="str">
        <f t="shared" si="305"/>
        <v>24 Business, media and public service professionals</v>
      </c>
      <c r="X124" s="26">
        <f t="shared" si="290"/>
        <v>92.928095377657542</v>
      </c>
      <c r="Y124" s="26">
        <f t="shared" si="290"/>
        <v>67.787373557503884</v>
      </c>
      <c r="Z124" s="26">
        <f t="shared" si="290"/>
        <v>59.497059661564663</v>
      </c>
      <c r="AA124" s="26">
        <f t="shared" si="290"/>
        <v>23.970789451689711</v>
      </c>
      <c r="AB124" s="26">
        <f t="shared" si="291"/>
        <v>83.467849113254374</v>
      </c>
      <c r="AH124" t="str">
        <f t="shared" si="306"/>
        <v>24 Business, media and public service professionals</v>
      </c>
      <c r="AI124" s="26">
        <f t="shared" si="292"/>
        <v>-1.8793685198623109</v>
      </c>
      <c r="AJ124" s="26">
        <f t="shared" si="292"/>
        <v>8.5798783824866973</v>
      </c>
      <c r="AK124" s="26">
        <f t="shared" si="292"/>
        <v>-2.6147999444928018</v>
      </c>
      <c r="AL124" s="26">
        <f t="shared" si="292"/>
        <v>2.4053051611352032</v>
      </c>
      <c r="AM124" s="26">
        <f t="shared" si="293"/>
        <v>-0.20949478335759864</v>
      </c>
      <c r="AS124" t="str">
        <f t="shared" si="307"/>
        <v>24 Business, media and public service professionals</v>
      </c>
      <c r="AT124" s="26">
        <f t="shared" si="294"/>
        <v>11.671743957911218</v>
      </c>
      <c r="AU124" s="26">
        <f t="shared" si="294"/>
        <v>13.275701567567836</v>
      </c>
      <c r="AV124" s="26">
        <f t="shared" si="294"/>
        <v>8.7992493374368621</v>
      </c>
      <c r="AW124" s="26">
        <f t="shared" si="294"/>
        <v>9.419124757420434</v>
      </c>
      <c r="AX124" s="26">
        <f t="shared" si="295"/>
        <v>18.218374094857296</v>
      </c>
      <c r="BD124" t="str">
        <f t="shared" si="308"/>
        <v>24 Business, media and public service professionals</v>
      </c>
      <c r="BE124" s="26">
        <f t="shared" si="296"/>
        <v>29.282160168350487</v>
      </c>
      <c r="BF124" s="26">
        <f t="shared" si="296"/>
        <v>26.01149694209127</v>
      </c>
      <c r="BG124" s="26">
        <f t="shared" si="296"/>
        <v>8.7339766532819567</v>
      </c>
      <c r="BH124" s="26">
        <f t="shared" si="296"/>
        <v>4.8900306275719458</v>
      </c>
      <c r="BI124" s="26">
        <f t="shared" si="297"/>
        <v>13.624007280853903</v>
      </c>
      <c r="BO124" t="str">
        <f t="shared" si="309"/>
        <v>24 Business, media and public service professionals</v>
      </c>
      <c r="BP124" s="26">
        <f t="shared" si="298"/>
        <v>14.325160706252888</v>
      </c>
      <c r="BQ124" s="26">
        <f t="shared" si="298"/>
        <v>3.9632160032467993</v>
      </c>
      <c r="BR124" s="26">
        <f t="shared" si="298"/>
        <v>-6.6434849161138061</v>
      </c>
      <c r="BS124" s="26">
        <f t="shared" si="298"/>
        <v>-32.501084017805056</v>
      </c>
      <c r="BT124" s="26">
        <f t="shared" si="299"/>
        <v>-39.144568933918862</v>
      </c>
      <c r="BZ124" t="str">
        <f t="shared" si="310"/>
        <v>24 Business, media and public service professionals</v>
      </c>
      <c r="CA124" s="67">
        <f t="shared" si="300"/>
        <v>10.963574313684106</v>
      </c>
      <c r="CB124" s="67">
        <f t="shared" si="300"/>
        <v>2.9086428246144465</v>
      </c>
      <c r="CC124" s="67">
        <f t="shared" si="300"/>
        <v>-5.5669980218335127</v>
      </c>
      <c r="CD124" s="67">
        <f t="shared" si="300"/>
        <v>-36.233605793633188</v>
      </c>
      <c r="CE124" s="67">
        <f t="shared" si="301"/>
        <v>-41.800603815466701</v>
      </c>
      <c r="CK124" t="str">
        <f t="shared" si="311"/>
        <v>24 Business, media and public service professionals</v>
      </c>
      <c r="CL124" s="67">
        <f t="shared" si="302"/>
        <v>4.5110510560464938</v>
      </c>
      <c r="CM124" s="67">
        <f t="shared" si="302"/>
        <v>-0.65005715203226799</v>
      </c>
      <c r="CN124" s="67">
        <f t="shared" si="302"/>
        <v>1.2616782033759009</v>
      </c>
      <c r="CO124" s="67">
        <f t="shared" si="302"/>
        <v>-2.6557595163133385E-2</v>
      </c>
      <c r="CP124" s="67">
        <f t="shared" si="303"/>
        <v>1.2351206082127675</v>
      </c>
    </row>
    <row r="125" spans="1:94" x14ac:dyDescent="0.3">
      <c r="A125" t="str">
        <f t="shared" si="285"/>
        <v>31 Science, engineering and technology associate professionals</v>
      </c>
      <c r="B125" s="26">
        <f t="shared" si="286"/>
        <v>3.816442663388532</v>
      </c>
      <c r="C125" s="26">
        <f t="shared" si="286"/>
        <v>1.0486607513141113</v>
      </c>
      <c r="D125" s="26">
        <f t="shared" si="286"/>
        <v>2.5803539264700515</v>
      </c>
      <c r="E125" s="26">
        <f t="shared" si="286"/>
        <v>8.6001190877728071</v>
      </c>
      <c r="F125" s="26">
        <f t="shared" si="287"/>
        <v>11.180473014242859</v>
      </c>
      <c r="L125" t="str">
        <f t="shared" si="304"/>
        <v>31 Science, engineering and technology associate professionals</v>
      </c>
      <c r="M125" s="26">
        <f t="shared" si="288"/>
        <v>19.141541770073808</v>
      </c>
      <c r="N125" s="26">
        <f t="shared" si="288"/>
        <v>6.5952103077924704</v>
      </c>
      <c r="O125" s="26">
        <f t="shared" si="288"/>
        <v>7.0019509747684907</v>
      </c>
      <c r="P125" s="26">
        <f t="shared" si="288"/>
        <v>32.100107874461472</v>
      </c>
      <c r="Q125" s="26">
        <f t="shared" si="289"/>
        <v>39.102058849229962</v>
      </c>
      <c r="W125" t="str">
        <f t="shared" si="305"/>
        <v>31 Science, engineering and technology associate professionals</v>
      </c>
      <c r="X125" s="26">
        <f t="shared" si="290"/>
        <v>24.728898887212097</v>
      </c>
      <c r="Y125" s="26">
        <f t="shared" si="290"/>
        <v>11.43068577603168</v>
      </c>
      <c r="Z125" s="26">
        <f t="shared" si="290"/>
        <v>-13.681274580619117</v>
      </c>
      <c r="AA125" s="26">
        <f t="shared" si="290"/>
        <v>13.298352999935418</v>
      </c>
      <c r="AB125" s="26">
        <f t="shared" si="291"/>
        <v>-0.38292158068369986</v>
      </c>
      <c r="AH125" t="str">
        <f t="shared" si="306"/>
        <v>31 Science, engineering and technology associate professionals</v>
      </c>
      <c r="AI125" s="26">
        <f t="shared" si="292"/>
        <v>4.6582525853573671</v>
      </c>
      <c r="AJ125" s="26">
        <f t="shared" si="292"/>
        <v>3.0796691491642108</v>
      </c>
      <c r="AK125" s="26">
        <f t="shared" si="292"/>
        <v>0.47218656485924626</v>
      </c>
      <c r="AL125" s="26">
        <f t="shared" si="292"/>
        <v>8.3267156080395175</v>
      </c>
      <c r="AM125" s="26">
        <f t="shared" si="293"/>
        <v>8.7989021728987638</v>
      </c>
      <c r="AS125" t="str">
        <f t="shared" si="307"/>
        <v>31 Science, engineering and technology associate professionals</v>
      </c>
      <c r="AT125" s="26">
        <f t="shared" si="294"/>
        <v>4.5167270722589379</v>
      </c>
      <c r="AU125" s="26">
        <f t="shared" si="294"/>
        <v>3.9890108135740405</v>
      </c>
      <c r="AV125" s="26">
        <f t="shared" si="294"/>
        <v>-10.808871091672287</v>
      </c>
      <c r="AW125" s="26">
        <f t="shared" si="294"/>
        <v>-0.71570250912415645</v>
      </c>
      <c r="AX125" s="26">
        <f t="shared" si="295"/>
        <v>-11.524573600796444</v>
      </c>
      <c r="BD125" t="str">
        <f t="shared" si="308"/>
        <v>31 Science, engineering and technology associate professionals</v>
      </c>
      <c r="BE125" s="26">
        <f t="shared" si="296"/>
        <v>5.2486859765629532</v>
      </c>
      <c r="BF125" s="26">
        <f t="shared" si="296"/>
        <v>10.49759891338563</v>
      </c>
      <c r="BG125" s="26">
        <f t="shared" si="296"/>
        <v>-26.793993430032813</v>
      </c>
      <c r="BH125" s="26">
        <f t="shared" si="296"/>
        <v>-13.303960156485481</v>
      </c>
      <c r="BI125" s="26">
        <f t="shared" si="297"/>
        <v>-40.097953586518294</v>
      </c>
      <c r="BO125" t="str">
        <f t="shared" si="309"/>
        <v>31 Science, engineering and technology associate professionals</v>
      </c>
      <c r="BP125" s="26">
        <f t="shared" si="298"/>
        <v>8.7597328321917303</v>
      </c>
      <c r="BQ125" s="26">
        <f t="shared" si="298"/>
        <v>4.0502867877773525</v>
      </c>
      <c r="BR125" s="26">
        <f t="shared" si="298"/>
        <v>-14.889727765954142</v>
      </c>
      <c r="BS125" s="26">
        <f t="shared" si="298"/>
        <v>-5.7027635649633837</v>
      </c>
      <c r="BT125" s="26">
        <f t="shared" si="299"/>
        <v>-20.592491330917525</v>
      </c>
      <c r="BZ125" t="str">
        <f t="shared" si="310"/>
        <v>31 Science, engineering and technology associate professionals</v>
      </c>
      <c r="CA125" s="67">
        <f t="shared" si="300"/>
        <v>8.5473485438910188</v>
      </c>
      <c r="CB125" s="67">
        <f t="shared" si="300"/>
        <v>3.8531561515950798</v>
      </c>
      <c r="CC125" s="67">
        <f t="shared" si="300"/>
        <v>-12.035847953297967</v>
      </c>
      <c r="CD125" s="67">
        <f t="shared" si="300"/>
        <v>-10.303884528701971</v>
      </c>
      <c r="CE125" s="67">
        <f t="shared" si="301"/>
        <v>-22.339732481999938</v>
      </c>
      <c r="CK125" t="str">
        <f t="shared" si="311"/>
        <v>31 Science, engineering and technology associate professionals</v>
      </c>
      <c r="CL125" s="67">
        <f t="shared" si="302"/>
        <v>3.1262334071812568</v>
      </c>
      <c r="CM125" s="67">
        <f t="shared" si="302"/>
        <v>1.3432055272029757</v>
      </c>
      <c r="CN125" s="67">
        <f t="shared" si="302"/>
        <v>0.7576888331527396</v>
      </c>
      <c r="CO125" s="67">
        <f t="shared" si="302"/>
        <v>4.789338673042808</v>
      </c>
      <c r="CP125" s="67">
        <f t="shared" si="303"/>
        <v>5.5470275061955476</v>
      </c>
    </row>
    <row r="126" spans="1:94" x14ac:dyDescent="0.3">
      <c r="A126" t="str">
        <f t="shared" si="285"/>
        <v>32 Health and social care associate professionals</v>
      </c>
      <c r="B126" s="26">
        <f t="shared" si="286"/>
        <v>0.86209606091717061</v>
      </c>
      <c r="C126" s="26">
        <f t="shared" si="286"/>
        <v>-0.20607366014565054</v>
      </c>
      <c r="D126" s="26">
        <f t="shared" si="286"/>
        <v>1.1144834480918799</v>
      </c>
      <c r="E126" s="26">
        <f t="shared" si="286"/>
        <v>2.4799256785432902</v>
      </c>
      <c r="F126" s="26">
        <f t="shared" si="287"/>
        <v>3.5944091266351701</v>
      </c>
      <c r="L126" t="str">
        <f t="shared" si="304"/>
        <v>32 Health and social care associate professionals</v>
      </c>
      <c r="M126" s="26">
        <f t="shared" si="288"/>
        <v>19.098575491119725</v>
      </c>
      <c r="N126" s="26">
        <f t="shared" si="288"/>
        <v>2.2963446366659497</v>
      </c>
      <c r="O126" s="26">
        <f t="shared" si="288"/>
        <v>20.072588247605267</v>
      </c>
      <c r="P126" s="26">
        <f t="shared" si="288"/>
        <v>47.157620040304863</v>
      </c>
      <c r="Q126" s="26">
        <f t="shared" si="289"/>
        <v>67.230208287910131</v>
      </c>
      <c r="W126" t="str">
        <f t="shared" si="305"/>
        <v>32 Health and social care associate professionals</v>
      </c>
      <c r="X126" s="26">
        <f t="shared" si="290"/>
        <v>25.602571940837663</v>
      </c>
      <c r="Y126" s="26">
        <f t="shared" si="290"/>
        <v>8.2499456781967808</v>
      </c>
      <c r="Z126" s="26">
        <f t="shared" si="290"/>
        <v>16.908946424102766</v>
      </c>
      <c r="AA126" s="26">
        <f t="shared" si="290"/>
        <v>34.845935614170514</v>
      </c>
      <c r="AB126" s="26">
        <f t="shared" si="291"/>
        <v>51.75488203827328</v>
      </c>
      <c r="AH126" t="str">
        <f t="shared" si="306"/>
        <v>32 Health and social care associate professionals</v>
      </c>
      <c r="AI126" s="26">
        <f t="shared" si="292"/>
        <v>-12.930973226374974</v>
      </c>
      <c r="AJ126" s="26">
        <f t="shared" si="292"/>
        <v>-0.4981730417515422</v>
      </c>
      <c r="AK126" s="26">
        <f t="shared" si="292"/>
        <v>-22.780252195282472</v>
      </c>
      <c r="AL126" s="26">
        <f t="shared" si="292"/>
        <v>-26.406153421593423</v>
      </c>
      <c r="AM126" s="26">
        <f t="shared" si="293"/>
        <v>-49.186405616875895</v>
      </c>
      <c r="AS126" t="str">
        <f t="shared" si="307"/>
        <v>32 Health and social care associate professionals</v>
      </c>
      <c r="AT126" s="26">
        <f t="shared" si="294"/>
        <v>2.936599502811756</v>
      </c>
      <c r="AU126" s="26">
        <f t="shared" si="294"/>
        <v>3.2981395004538498</v>
      </c>
      <c r="AV126" s="26">
        <f t="shared" si="294"/>
        <v>-1.1608218322673345</v>
      </c>
      <c r="AW126" s="26">
        <f t="shared" si="294"/>
        <v>2.5165659377258507</v>
      </c>
      <c r="AX126" s="26">
        <f t="shared" si="295"/>
        <v>1.3557441054585162</v>
      </c>
      <c r="BD126" t="str">
        <f t="shared" si="308"/>
        <v>32 Health and social care associate professionals</v>
      </c>
      <c r="BE126" s="26">
        <f t="shared" si="296"/>
        <v>18.742267599351123</v>
      </c>
      <c r="BF126" s="26">
        <f t="shared" si="296"/>
        <v>5.1322754254422165</v>
      </c>
      <c r="BG126" s="26">
        <f t="shared" si="296"/>
        <v>2.5606872222701611</v>
      </c>
      <c r="BH126" s="26">
        <f t="shared" si="296"/>
        <v>13.722224182539577</v>
      </c>
      <c r="BI126" s="26">
        <f t="shared" si="297"/>
        <v>16.282911404809738</v>
      </c>
      <c r="BO126" t="str">
        <f t="shared" si="309"/>
        <v>32 Health and social care associate professionals</v>
      </c>
      <c r="BP126" s="26">
        <f t="shared" si="298"/>
        <v>9.1916896203413927</v>
      </c>
      <c r="BQ126" s="26">
        <f t="shared" si="298"/>
        <v>-2.6541489562712428</v>
      </c>
      <c r="BR126" s="26">
        <f t="shared" si="298"/>
        <v>-5.1857710094284926</v>
      </c>
      <c r="BS126" s="26">
        <f t="shared" si="298"/>
        <v>-13.522572299168111</v>
      </c>
      <c r="BT126" s="26">
        <f t="shared" si="299"/>
        <v>-18.708343308596604</v>
      </c>
      <c r="BZ126" t="str">
        <f t="shared" si="310"/>
        <v>32 Health and social care associate professionals</v>
      </c>
      <c r="CA126" s="67">
        <f t="shared" si="300"/>
        <v>-1.1359761034239888</v>
      </c>
      <c r="CB126" s="67">
        <f t="shared" si="300"/>
        <v>-2.647167801372845</v>
      </c>
      <c r="CC126" s="67">
        <f t="shared" si="300"/>
        <v>-3.5183476819550812</v>
      </c>
      <c r="CD126" s="67">
        <f t="shared" si="300"/>
        <v>-7.5219127694080736</v>
      </c>
      <c r="CE126" s="67">
        <f t="shared" si="301"/>
        <v>-11.040260451363155</v>
      </c>
      <c r="CK126" t="str">
        <f t="shared" si="311"/>
        <v>32 Health and social care associate professionals</v>
      </c>
      <c r="CL126" s="67">
        <f t="shared" si="302"/>
        <v>0.45502749043865087</v>
      </c>
      <c r="CM126" s="67">
        <f t="shared" si="302"/>
        <v>-3.164250492588927E-2</v>
      </c>
      <c r="CN126" s="67">
        <f t="shared" si="302"/>
        <v>0.4514533561661338</v>
      </c>
      <c r="CO126" s="67">
        <f t="shared" si="302"/>
        <v>1.5261571052841942</v>
      </c>
      <c r="CP126" s="67">
        <f t="shared" si="303"/>
        <v>1.977610461450328</v>
      </c>
    </row>
    <row r="127" spans="1:94" x14ac:dyDescent="0.3">
      <c r="A127" t="str">
        <f t="shared" si="285"/>
        <v>33 Protective service occupations</v>
      </c>
      <c r="B127" s="26">
        <f t="shared" si="286"/>
        <v>0.19213639767433865</v>
      </c>
      <c r="C127" s="26">
        <f t="shared" si="286"/>
        <v>7.1789702539311495E-2</v>
      </c>
      <c r="D127" s="26">
        <f t="shared" si="286"/>
        <v>0.87181526384306962</v>
      </c>
      <c r="E127" s="26">
        <f t="shared" si="286"/>
        <v>1.5467013981341724</v>
      </c>
      <c r="F127" s="26">
        <f t="shared" si="287"/>
        <v>2.4185166619772422</v>
      </c>
      <c r="L127" t="str">
        <f t="shared" si="304"/>
        <v>33 Protective service occupations</v>
      </c>
      <c r="M127" s="26">
        <f t="shared" si="288"/>
        <v>4.2593882576795465</v>
      </c>
      <c r="N127" s="26">
        <f t="shared" si="288"/>
        <v>2.1853172760902169</v>
      </c>
      <c r="O127" s="26">
        <f t="shared" si="288"/>
        <v>13.936584044524768</v>
      </c>
      <c r="P127" s="26">
        <f t="shared" si="288"/>
        <v>27.301922396789529</v>
      </c>
      <c r="Q127" s="26">
        <f t="shared" si="289"/>
        <v>41.2385064413143</v>
      </c>
      <c r="W127" t="str">
        <f t="shared" si="305"/>
        <v>33 Protective service occupations</v>
      </c>
      <c r="X127" s="26">
        <f t="shared" si="290"/>
        <v>8.3030203609989854</v>
      </c>
      <c r="Y127" s="26">
        <f t="shared" si="290"/>
        <v>9.4740799234707822</v>
      </c>
      <c r="Z127" s="26">
        <f t="shared" si="290"/>
        <v>26.368379396976664</v>
      </c>
      <c r="AA127" s="26">
        <f t="shared" si="290"/>
        <v>41.969723785914994</v>
      </c>
      <c r="AB127" s="26">
        <f t="shared" si="291"/>
        <v>68.338103182891658</v>
      </c>
      <c r="AH127" t="str">
        <f t="shared" si="306"/>
        <v>33 Protective service occupations</v>
      </c>
      <c r="AI127" s="26">
        <f t="shared" si="292"/>
        <v>1.6726326602618151</v>
      </c>
      <c r="AJ127" s="26">
        <f t="shared" si="292"/>
        <v>2.7934414976614867</v>
      </c>
      <c r="AK127" s="26">
        <f t="shared" si="292"/>
        <v>6.5989008927184685</v>
      </c>
      <c r="AL127" s="26">
        <f t="shared" si="292"/>
        <v>10.452298211774274</v>
      </c>
      <c r="AM127" s="26">
        <f t="shared" si="293"/>
        <v>17.051199104492742</v>
      </c>
      <c r="AS127" t="str">
        <f t="shared" si="307"/>
        <v>33 Protective service occupations</v>
      </c>
      <c r="AT127" s="26">
        <f t="shared" si="294"/>
        <v>-1.2235814503832927</v>
      </c>
      <c r="AU127" s="26">
        <f t="shared" si="294"/>
        <v>1.5315370333952352</v>
      </c>
      <c r="AV127" s="26">
        <f t="shared" si="294"/>
        <v>1.7052975305895153</v>
      </c>
      <c r="AW127" s="26">
        <f t="shared" si="294"/>
        <v>2.2589317274375595</v>
      </c>
      <c r="AX127" s="26">
        <f t="shared" si="295"/>
        <v>3.9642292580270748</v>
      </c>
      <c r="BD127" t="str">
        <f t="shared" si="308"/>
        <v>33 Protective service occupations</v>
      </c>
      <c r="BE127" s="26">
        <f t="shared" si="296"/>
        <v>-3.844864214231059</v>
      </c>
      <c r="BF127" s="26">
        <f t="shared" si="296"/>
        <v>4.3917664649861905</v>
      </c>
      <c r="BG127" s="26">
        <f t="shared" si="296"/>
        <v>4.9362642377087553</v>
      </c>
      <c r="BH127" s="26">
        <f t="shared" si="296"/>
        <v>-2.1869462303799097</v>
      </c>
      <c r="BI127" s="26">
        <f t="shared" si="297"/>
        <v>2.7493180073288457</v>
      </c>
      <c r="BO127" t="str">
        <f t="shared" si="309"/>
        <v>33 Protective service occupations</v>
      </c>
      <c r="BP127" s="26">
        <f t="shared" si="298"/>
        <v>0.75169593530695522</v>
      </c>
      <c r="BQ127" s="26">
        <f t="shared" si="298"/>
        <v>-1.3730037803102704</v>
      </c>
      <c r="BR127" s="26">
        <f t="shared" si="298"/>
        <v>5.251445567263147</v>
      </c>
      <c r="BS127" s="26">
        <f t="shared" si="298"/>
        <v>-13.935959692057992</v>
      </c>
      <c r="BT127" s="26">
        <f t="shared" si="299"/>
        <v>-8.6845141247948447</v>
      </c>
      <c r="BZ127" t="str">
        <f t="shared" si="310"/>
        <v>33 Protective service occupations</v>
      </c>
      <c r="CA127" s="67">
        <f t="shared" si="300"/>
        <v>-0.76322446300225266</v>
      </c>
      <c r="CB127" s="67">
        <f t="shared" si="300"/>
        <v>0.15148957356758785</v>
      </c>
      <c r="CC127" s="67">
        <f t="shared" si="300"/>
        <v>3.2981256892064224</v>
      </c>
      <c r="CD127" s="67">
        <f t="shared" si="300"/>
        <v>-8.5025855369925765</v>
      </c>
      <c r="CE127" s="67">
        <f t="shared" si="301"/>
        <v>-5.2044598477861541</v>
      </c>
      <c r="CK127" t="str">
        <f t="shared" si="311"/>
        <v>33 Protective service occupations</v>
      </c>
      <c r="CL127" s="67">
        <f t="shared" si="302"/>
        <v>-1.042806264109772</v>
      </c>
      <c r="CM127" s="67">
        <f t="shared" si="302"/>
        <v>-0.36945889582936342</v>
      </c>
      <c r="CN127" s="67">
        <f t="shared" si="302"/>
        <v>-0.8615243733631841</v>
      </c>
      <c r="CO127" s="67">
        <f t="shared" si="302"/>
        <v>-0.55738744297753895</v>
      </c>
      <c r="CP127" s="67">
        <f t="shared" si="303"/>
        <v>-1.4189118163407231</v>
      </c>
    </row>
    <row r="128" spans="1:94" x14ac:dyDescent="0.3">
      <c r="A128" t="str">
        <f t="shared" si="285"/>
        <v>34 Culture, media and sports occupations</v>
      </c>
      <c r="B128" s="26">
        <f t="shared" si="286"/>
        <v>2.252999283749733</v>
      </c>
      <c r="C128" s="26">
        <f t="shared" si="286"/>
        <v>0.4677257619775812</v>
      </c>
      <c r="D128" s="26">
        <f t="shared" si="286"/>
        <v>1.7991779323632073</v>
      </c>
      <c r="E128" s="26">
        <f t="shared" si="286"/>
        <v>4.2042842233282176</v>
      </c>
      <c r="F128" s="26">
        <f t="shared" si="287"/>
        <v>6.0034621556914249</v>
      </c>
      <c r="L128" t="str">
        <f t="shared" si="304"/>
        <v>34 Culture, media and sports occupations</v>
      </c>
      <c r="M128" s="26">
        <f t="shared" si="288"/>
        <v>20.920794814668497</v>
      </c>
      <c r="N128" s="26">
        <f t="shared" si="288"/>
        <v>23.047290456108101</v>
      </c>
      <c r="O128" s="26">
        <f t="shared" si="288"/>
        <v>35.994369657967496</v>
      </c>
      <c r="P128" s="26">
        <f t="shared" si="288"/>
        <v>79.489472547156282</v>
      </c>
      <c r="Q128" s="26">
        <f t="shared" si="289"/>
        <v>115.48384220512378</v>
      </c>
      <c r="W128" t="str">
        <f t="shared" si="305"/>
        <v>34 Culture, media and sports occupations</v>
      </c>
      <c r="X128" s="26">
        <f t="shared" si="290"/>
        <v>-5.7556127569437194</v>
      </c>
      <c r="Y128" s="26">
        <f t="shared" si="290"/>
        <v>21.212866297584213</v>
      </c>
      <c r="Z128" s="26">
        <f t="shared" si="290"/>
        <v>-7.974598995849334</v>
      </c>
      <c r="AA128" s="26">
        <f t="shared" si="290"/>
        <v>8.7052899737311975</v>
      </c>
      <c r="AB128" s="26">
        <f t="shared" si="291"/>
        <v>0.73069097788186355</v>
      </c>
      <c r="AH128" t="str">
        <f t="shared" si="306"/>
        <v>34 Culture, media and sports occupations</v>
      </c>
      <c r="AI128" s="26">
        <f t="shared" si="292"/>
        <v>0.19648808586632072</v>
      </c>
      <c r="AJ128" s="26">
        <f t="shared" si="292"/>
        <v>5.3196378629164727</v>
      </c>
      <c r="AK128" s="26">
        <f t="shared" si="292"/>
        <v>-0.87161855586972337</v>
      </c>
      <c r="AL128" s="26">
        <f t="shared" si="292"/>
        <v>7.4390436215593354</v>
      </c>
      <c r="AM128" s="26">
        <f t="shared" si="293"/>
        <v>6.567425065689612</v>
      </c>
      <c r="AS128" t="str">
        <f t="shared" si="307"/>
        <v>34 Culture, media and sports occupations</v>
      </c>
      <c r="AT128" s="26">
        <f t="shared" si="294"/>
        <v>-2.9700186279813821</v>
      </c>
      <c r="AU128" s="26">
        <f t="shared" si="294"/>
        <v>2.6377161841432226</v>
      </c>
      <c r="AV128" s="26">
        <f t="shared" si="294"/>
        <v>-4.2159854810470065</v>
      </c>
      <c r="AW128" s="26">
        <f t="shared" si="294"/>
        <v>-1.0044152362348697</v>
      </c>
      <c r="AX128" s="26">
        <f t="shared" si="295"/>
        <v>-5.2204007172818763</v>
      </c>
      <c r="BD128" t="str">
        <f t="shared" si="308"/>
        <v>34 Culture, media and sports occupations</v>
      </c>
      <c r="BE128" s="26">
        <f t="shared" si="296"/>
        <v>-6.0868498032784544</v>
      </c>
      <c r="BF128" s="26">
        <f t="shared" si="296"/>
        <v>5.004493745308821</v>
      </c>
      <c r="BG128" s="26">
        <f t="shared" si="296"/>
        <v>-12.084324437317846</v>
      </c>
      <c r="BH128" s="26">
        <f t="shared" si="296"/>
        <v>-2.8327454311885703</v>
      </c>
      <c r="BI128" s="26">
        <f t="shared" si="297"/>
        <v>-14.917069868506417</v>
      </c>
      <c r="BO128" t="str">
        <f t="shared" si="309"/>
        <v>34 Culture, media and sports occupations</v>
      </c>
      <c r="BP128" s="26">
        <f t="shared" si="298"/>
        <v>-6.8279669442994688</v>
      </c>
      <c r="BQ128" s="26">
        <f t="shared" si="298"/>
        <v>-2.9161487359637022</v>
      </c>
      <c r="BR128" s="26">
        <f t="shared" si="298"/>
        <v>-10.022961806028952</v>
      </c>
      <c r="BS128" s="26">
        <f t="shared" si="298"/>
        <v>-12.494940775556376</v>
      </c>
      <c r="BT128" s="26">
        <f t="shared" si="299"/>
        <v>-22.517902581585329</v>
      </c>
      <c r="BZ128" t="str">
        <f t="shared" si="310"/>
        <v>34 Culture, media and sports occupations</v>
      </c>
      <c r="CA128" s="67">
        <f t="shared" si="300"/>
        <v>-3.061877122705603</v>
      </c>
      <c r="CB128" s="67">
        <f t="shared" si="300"/>
        <v>-2.0383343097866558</v>
      </c>
      <c r="CC128" s="67">
        <f t="shared" si="300"/>
        <v>-6.781625329196828</v>
      </c>
      <c r="CD128" s="67">
        <f t="shared" si="300"/>
        <v>-10.170634038968476</v>
      </c>
      <c r="CE128" s="67">
        <f t="shared" si="301"/>
        <v>-16.952259368165304</v>
      </c>
      <c r="CK128" t="str">
        <f t="shared" si="311"/>
        <v>34 Culture, media and sports occupations</v>
      </c>
      <c r="CL128" s="67">
        <f t="shared" si="302"/>
        <v>1.3404922697834127</v>
      </c>
      <c r="CM128" s="67">
        <f t="shared" si="302"/>
        <v>-1.4386570258116826</v>
      </c>
      <c r="CN128" s="67">
        <f t="shared" si="302"/>
        <v>-0.8167853390070583</v>
      </c>
      <c r="CO128" s="67">
        <f t="shared" si="302"/>
        <v>-0.58631123350809844</v>
      </c>
      <c r="CP128" s="67">
        <f t="shared" si="303"/>
        <v>-1.4030965725151567</v>
      </c>
    </row>
    <row r="129" spans="1:94" x14ac:dyDescent="0.3">
      <c r="A129" t="str">
        <f t="shared" si="285"/>
        <v>35 Business and public service associate professionals</v>
      </c>
      <c r="B129" s="26">
        <f t="shared" si="286"/>
        <v>6.8388386147621283</v>
      </c>
      <c r="C129" s="26">
        <f t="shared" si="286"/>
        <v>1.3608245017921945</v>
      </c>
      <c r="D129" s="26">
        <f t="shared" si="286"/>
        <v>9.1561603738468946</v>
      </c>
      <c r="E129" s="26">
        <f t="shared" si="286"/>
        <v>20.431619747621447</v>
      </c>
      <c r="F129" s="26">
        <f t="shared" si="287"/>
        <v>29.587780121468342</v>
      </c>
      <c r="L129" t="str">
        <f t="shared" si="304"/>
        <v>35 Business and public service associate professionals</v>
      </c>
      <c r="M129" s="26">
        <f t="shared" si="288"/>
        <v>71.89224495728098</v>
      </c>
      <c r="N129" s="26">
        <f t="shared" si="288"/>
        <v>13.214073864576562</v>
      </c>
      <c r="O129" s="26">
        <f t="shared" si="288"/>
        <v>75.531443817513946</v>
      </c>
      <c r="P129" s="26">
        <f t="shared" si="288"/>
        <v>155.3496945832664</v>
      </c>
      <c r="Q129" s="26">
        <f t="shared" si="289"/>
        <v>230.88113840078034</v>
      </c>
      <c r="W129" t="str">
        <f t="shared" si="305"/>
        <v>35 Business and public service associate professionals</v>
      </c>
      <c r="X129" s="26">
        <f t="shared" si="290"/>
        <v>32.669999225136394</v>
      </c>
      <c r="Y129" s="26">
        <f t="shared" si="290"/>
        <v>18.15365131973283</v>
      </c>
      <c r="Z129" s="26">
        <f t="shared" si="290"/>
        <v>-21.348355205716643</v>
      </c>
      <c r="AA129" s="26">
        <f t="shared" si="290"/>
        <v>7.307710148154797</v>
      </c>
      <c r="AB129" s="26">
        <f t="shared" si="291"/>
        <v>-14.040645057561846</v>
      </c>
      <c r="AH129" t="str">
        <f t="shared" si="306"/>
        <v>35 Business and public service associate professionals</v>
      </c>
      <c r="AI129" s="26">
        <f t="shared" si="292"/>
        <v>7.7285267776675823</v>
      </c>
      <c r="AJ129" s="26">
        <f t="shared" si="292"/>
        <v>13.917798696661038</v>
      </c>
      <c r="AK129" s="26">
        <f t="shared" si="292"/>
        <v>-4.413750800231611</v>
      </c>
      <c r="AL129" s="26">
        <f t="shared" si="292"/>
        <v>10.869416678095376</v>
      </c>
      <c r="AM129" s="26">
        <f t="shared" si="293"/>
        <v>6.4556658778637654</v>
      </c>
      <c r="AS129" t="str">
        <f t="shared" si="307"/>
        <v>35 Business and public service associate professionals</v>
      </c>
      <c r="AT129" s="26">
        <f t="shared" si="294"/>
        <v>5.4712429810305991</v>
      </c>
      <c r="AU129" s="26">
        <f t="shared" si="294"/>
        <v>8.871167609089639</v>
      </c>
      <c r="AV129" s="26">
        <f t="shared" si="294"/>
        <v>-6.5196077978838076</v>
      </c>
      <c r="AW129" s="26">
        <f t="shared" si="294"/>
        <v>6.8302684985628304</v>
      </c>
      <c r="AX129" s="26">
        <f t="shared" si="295"/>
        <v>0.31066070067902274</v>
      </c>
      <c r="BD129" t="str">
        <f t="shared" si="308"/>
        <v>35 Business and public service associate professionals</v>
      </c>
      <c r="BE129" s="26">
        <f t="shared" si="296"/>
        <v>9.3966019465020167</v>
      </c>
      <c r="BF129" s="26">
        <f t="shared" si="296"/>
        <v>18.086976782004569</v>
      </c>
      <c r="BG129" s="26">
        <f t="shared" si="296"/>
        <v>-41.377104938584182</v>
      </c>
      <c r="BH129" s="26">
        <f t="shared" si="296"/>
        <v>-18.722387561663879</v>
      </c>
      <c r="BI129" s="26">
        <f t="shared" si="297"/>
        <v>-60.099492500248061</v>
      </c>
      <c r="BO129" t="str">
        <f t="shared" si="309"/>
        <v>35 Business and public service associate professionals</v>
      </c>
      <c r="BP129" s="26">
        <f t="shared" si="298"/>
        <v>4.2561356729676163</v>
      </c>
      <c r="BQ129" s="26">
        <f t="shared" si="298"/>
        <v>-6.5657298417277161</v>
      </c>
      <c r="BR129" s="26">
        <f t="shared" si="298"/>
        <v>-40.842995766320882</v>
      </c>
      <c r="BS129" s="26">
        <f t="shared" si="298"/>
        <v>-49.590410549347553</v>
      </c>
      <c r="BT129" s="26">
        <f t="shared" si="299"/>
        <v>-90.433406315668435</v>
      </c>
      <c r="BZ129" t="str">
        <f t="shared" si="310"/>
        <v>35 Business and public service associate professionals</v>
      </c>
      <c r="CA129" s="67">
        <f t="shared" si="300"/>
        <v>-0.20480760923598496</v>
      </c>
      <c r="CB129" s="67">
        <f t="shared" si="300"/>
        <v>-7.2947012237625586</v>
      </c>
      <c r="CC129" s="67">
        <f t="shared" si="300"/>
        <v>-30.314585223074744</v>
      </c>
      <c r="CD129" s="67">
        <f t="shared" si="300"/>
        <v>-49.211424078839897</v>
      </c>
      <c r="CE129" s="67">
        <f t="shared" si="301"/>
        <v>-79.526009301914641</v>
      </c>
      <c r="CK129" t="str">
        <f t="shared" si="311"/>
        <v>35 Business and public service associate professionals</v>
      </c>
      <c r="CL129" s="67">
        <f t="shared" si="302"/>
        <v>1.4836682790580937</v>
      </c>
      <c r="CM129" s="67">
        <f t="shared" si="302"/>
        <v>-2.6888793082254878</v>
      </c>
      <c r="CN129" s="67">
        <f t="shared" si="302"/>
        <v>-5.1828729174405197</v>
      </c>
      <c r="CO129" s="67">
        <f t="shared" si="302"/>
        <v>2.424519333179191</v>
      </c>
      <c r="CP129" s="67">
        <f t="shared" si="303"/>
        <v>-2.7583535842613287</v>
      </c>
    </row>
    <row r="130" spans="1:94" x14ac:dyDescent="0.3">
      <c r="A130" t="str">
        <f t="shared" si="285"/>
        <v>41 Administrative occupations</v>
      </c>
      <c r="B130" s="26">
        <f t="shared" si="286"/>
        <v>2.8307359652483743</v>
      </c>
      <c r="C130" s="26">
        <f t="shared" si="286"/>
        <v>1.148308971107193</v>
      </c>
      <c r="D130" s="26">
        <f t="shared" si="286"/>
        <v>4.8085129043630879</v>
      </c>
      <c r="E130" s="26">
        <f t="shared" si="286"/>
        <v>11.754455592257553</v>
      </c>
      <c r="F130" s="26">
        <f t="shared" si="287"/>
        <v>16.562968496620641</v>
      </c>
      <c r="L130" t="str">
        <f t="shared" si="304"/>
        <v>41 Administrative occupations</v>
      </c>
      <c r="M130" s="26">
        <f t="shared" si="288"/>
        <v>35.081856682231404</v>
      </c>
      <c r="N130" s="26">
        <f t="shared" si="288"/>
        <v>13.442403847262852</v>
      </c>
      <c r="O130" s="26">
        <f t="shared" si="288"/>
        <v>48.676823476014079</v>
      </c>
      <c r="P130" s="26">
        <f t="shared" si="288"/>
        <v>107.1694423329254</v>
      </c>
      <c r="Q130" s="26">
        <f t="shared" si="289"/>
        <v>155.84626580893948</v>
      </c>
      <c r="W130" t="str">
        <f t="shared" si="305"/>
        <v>41 Administrative occupations</v>
      </c>
      <c r="X130" s="26">
        <f t="shared" si="290"/>
        <v>16.811736819665612</v>
      </c>
      <c r="Y130" s="26">
        <f t="shared" si="290"/>
        <v>47.290340210478405</v>
      </c>
      <c r="Z130" s="26">
        <f t="shared" si="290"/>
        <v>17.249507597877709</v>
      </c>
      <c r="AA130" s="26">
        <f t="shared" si="290"/>
        <v>73.245388112627552</v>
      </c>
      <c r="AB130" s="26">
        <f t="shared" si="291"/>
        <v>90.494895710505261</v>
      </c>
      <c r="AH130" t="str">
        <f t="shared" si="306"/>
        <v>41 Administrative occupations</v>
      </c>
      <c r="AI130" s="26">
        <f t="shared" si="292"/>
        <v>7.3040321461602105</v>
      </c>
      <c r="AJ130" s="26">
        <f t="shared" si="292"/>
        <v>17.634234459592619</v>
      </c>
      <c r="AK130" s="26">
        <f t="shared" si="292"/>
        <v>1.1486461044053726</v>
      </c>
      <c r="AL130" s="26">
        <f t="shared" si="292"/>
        <v>21.416674698309464</v>
      </c>
      <c r="AM130" s="26">
        <f t="shared" si="293"/>
        <v>22.565320802714837</v>
      </c>
      <c r="AS130" t="str">
        <f t="shared" si="307"/>
        <v>41 Administrative occupations</v>
      </c>
      <c r="AT130" s="26">
        <f t="shared" si="294"/>
        <v>4.3218575048074115</v>
      </c>
      <c r="AU130" s="26">
        <f t="shared" si="294"/>
        <v>16.937942191183652</v>
      </c>
      <c r="AV130" s="26">
        <f t="shared" si="294"/>
        <v>-3.8553515345953713</v>
      </c>
      <c r="AW130" s="26">
        <f t="shared" si="294"/>
        <v>20.368381788523834</v>
      </c>
      <c r="AX130" s="26">
        <f t="shared" si="295"/>
        <v>16.513030253928463</v>
      </c>
      <c r="BD130" t="str">
        <f t="shared" si="308"/>
        <v>41 Administrative occupations</v>
      </c>
      <c r="BE130" s="26">
        <f t="shared" si="296"/>
        <v>-11.512019983467724</v>
      </c>
      <c r="BF130" s="26">
        <f t="shared" si="296"/>
        <v>31.932597431014244</v>
      </c>
      <c r="BG130" s="26">
        <f t="shared" si="296"/>
        <v>-66.746715733673284</v>
      </c>
      <c r="BH130" s="26">
        <f t="shared" si="296"/>
        <v>-75.986225261554409</v>
      </c>
      <c r="BI130" s="26">
        <f t="shared" si="297"/>
        <v>-142.73294099522769</v>
      </c>
      <c r="BO130" t="str">
        <f t="shared" si="309"/>
        <v>41 Administrative occupations</v>
      </c>
      <c r="BP130" s="26">
        <f t="shared" si="298"/>
        <v>-37.68884956886086</v>
      </c>
      <c r="BQ130" s="26">
        <f t="shared" si="298"/>
        <v>-5.2649351045904496</v>
      </c>
      <c r="BR130" s="26">
        <f t="shared" si="298"/>
        <v>-96.879845967088443</v>
      </c>
      <c r="BS130" s="26">
        <f t="shared" si="298"/>
        <v>-155.64275906176647</v>
      </c>
      <c r="BT130" s="26">
        <f t="shared" si="299"/>
        <v>-252.52260502885491</v>
      </c>
      <c r="BZ130" t="str">
        <f t="shared" si="310"/>
        <v>41 Administrative occupations</v>
      </c>
      <c r="CA130" s="67">
        <f t="shared" si="300"/>
        <v>-43.680385501513115</v>
      </c>
      <c r="CB130" s="67">
        <f t="shared" si="300"/>
        <v>-18.14914924407293</v>
      </c>
      <c r="CC130" s="67">
        <f t="shared" si="300"/>
        <v>-90.677068359100105</v>
      </c>
      <c r="CD130" s="67">
        <f t="shared" si="300"/>
        <v>-116.59724222768256</v>
      </c>
      <c r="CE130" s="67">
        <f t="shared" si="301"/>
        <v>-207.27431058678266</v>
      </c>
      <c r="CK130" t="str">
        <f t="shared" si="311"/>
        <v>41 Administrative occupations</v>
      </c>
      <c r="CL130" s="67">
        <f t="shared" si="302"/>
        <v>-10.186153115209933</v>
      </c>
      <c r="CM130" s="67">
        <f t="shared" si="302"/>
        <v>-3.1700112275372874</v>
      </c>
      <c r="CN130" s="67">
        <f t="shared" si="302"/>
        <v>-15.824823058635808</v>
      </c>
      <c r="CO130" s="67">
        <f t="shared" si="302"/>
        <v>-11.366726588520301</v>
      </c>
      <c r="CP130" s="67">
        <f t="shared" si="303"/>
        <v>-27.191549647156108</v>
      </c>
    </row>
    <row r="131" spans="1:94" x14ac:dyDescent="0.3">
      <c r="A131" t="str">
        <f t="shared" si="285"/>
        <v>42 Secretarial and related occupations</v>
      </c>
      <c r="B131" s="26">
        <f t="shared" si="286"/>
        <v>0.35730791058766087</v>
      </c>
      <c r="C131" s="26">
        <f t="shared" si="286"/>
        <v>-1.5212391656051816E-2</v>
      </c>
      <c r="D131" s="26">
        <f t="shared" si="286"/>
        <v>1.028038643217198</v>
      </c>
      <c r="E131" s="26">
        <f t="shared" si="286"/>
        <v>2.4147952394204908</v>
      </c>
      <c r="F131" s="26">
        <f t="shared" si="287"/>
        <v>3.4428338826376885</v>
      </c>
      <c r="L131" t="str">
        <f t="shared" si="304"/>
        <v>42 Secretarial and related occupations</v>
      </c>
      <c r="M131" s="26">
        <f t="shared" si="288"/>
        <v>4.4367740863571008</v>
      </c>
      <c r="N131" s="26">
        <f t="shared" si="288"/>
        <v>1.1409664972747464</v>
      </c>
      <c r="O131" s="26">
        <f t="shared" si="288"/>
        <v>18.975533897320776</v>
      </c>
      <c r="P131" s="26">
        <f t="shared" si="288"/>
        <v>17.120953201767321</v>
      </c>
      <c r="Q131" s="26">
        <f t="shared" si="289"/>
        <v>36.096487099088094</v>
      </c>
      <c r="W131" t="str">
        <f t="shared" si="305"/>
        <v>42 Secretarial and related occupations</v>
      </c>
      <c r="X131" s="26">
        <f t="shared" si="290"/>
        <v>0.36083936691969143</v>
      </c>
      <c r="Y131" s="26">
        <f t="shared" si="290"/>
        <v>4.3349302383076775</v>
      </c>
      <c r="Z131" s="26">
        <f t="shared" si="290"/>
        <v>39.695590899242788</v>
      </c>
      <c r="AA131" s="26">
        <f t="shared" si="290"/>
        <v>51.227034780107715</v>
      </c>
      <c r="AB131" s="26">
        <f t="shared" si="291"/>
        <v>90.922625679350503</v>
      </c>
      <c r="AH131" t="str">
        <f t="shared" si="306"/>
        <v>42 Secretarial and related occupations</v>
      </c>
      <c r="AI131" s="26">
        <f t="shared" si="292"/>
        <v>-0.63377913035948552</v>
      </c>
      <c r="AJ131" s="26">
        <f t="shared" si="292"/>
        <v>3.7324996680747375</v>
      </c>
      <c r="AK131" s="26">
        <f t="shared" si="292"/>
        <v>13.736066236971112</v>
      </c>
      <c r="AL131" s="26">
        <f t="shared" si="292"/>
        <v>6.7101307530350809</v>
      </c>
      <c r="AM131" s="26">
        <f t="shared" si="293"/>
        <v>20.446196990006193</v>
      </c>
      <c r="AS131" t="str">
        <f t="shared" si="307"/>
        <v>42 Secretarial and related occupations</v>
      </c>
      <c r="AT131" s="26">
        <f t="shared" si="294"/>
        <v>-2.0266354384520646</v>
      </c>
      <c r="AU131" s="26">
        <f t="shared" si="294"/>
        <v>2.5158589526995776</v>
      </c>
      <c r="AV131" s="26">
        <f t="shared" si="294"/>
        <v>7.4832058121329155</v>
      </c>
      <c r="AW131" s="26">
        <f t="shared" si="294"/>
        <v>0.18655987554475217</v>
      </c>
      <c r="AX131" s="26">
        <f t="shared" si="295"/>
        <v>7.6697656876776676</v>
      </c>
      <c r="BD131" t="str">
        <f t="shared" si="308"/>
        <v>42 Secretarial and related occupations</v>
      </c>
      <c r="BE131" s="26">
        <f t="shared" si="296"/>
        <v>-10.505662126130957</v>
      </c>
      <c r="BF131" s="26">
        <f t="shared" si="296"/>
        <v>-0.26334625193136674</v>
      </c>
      <c r="BG131" s="26">
        <f t="shared" si="296"/>
        <v>9.7978711151781965</v>
      </c>
      <c r="BH131" s="26">
        <f t="shared" si="296"/>
        <v>-72.407642608267793</v>
      </c>
      <c r="BI131" s="26">
        <f t="shared" si="297"/>
        <v>-62.609771493089589</v>
      </c>
      <c r="BO131" t="str">
        <f t="shared" si="309"/>
        <v>42 Secretarial and related occupations</v>
      </c>
      <c r="BP131" s="26">
        <f t="shared" si="298"/>
        <v>-27.904992551266844</v>
      </c>
      <c r="BQ131" s="26">
        <f t="shared" si="298"/>
        <v>-11.086240606406662</v>
      </c>
      <c r="BR131" s="26">
        <f t="shared" si="298"/>
        <v>-21.704712647206833</v>
      </c>
      <c r="BS131" s="26">
        <f t="shared" si="298"/>
        <v>-73.076860523924651</v>
      </c>
      <c r="BT131" s="26">
        <f t="shared" si="299"/>
        <v>-94.781573171131484</v>
      </c>
      <c r="BZ131" t="str">
        <f t="shared" si="310"/>
        <v>42 Secretarial and related occupations</v>
      </c>
      <c r="CA131" s="67">
        <f t="shared" si="300"/>
        <v>-15.176846109256076</v>
      </c>
      <c r="CB131" s="67">
        <f t="shared" si="300"/>
        <v>-13.691160700937175</v>
      </c>
      <c r="CC131" s="67">
        <f t="shared" si="300"/>
        <v>-46.500415823054084</v>
      </c>
      <c r="CD131" s="67">
        <f t="shared" si="300"/>
        <v>-50.301111918417874</v>
      </c>
      <c r="CE131" s="67">
        <f t="shared" si="301"/>
        <v>-96.801527741471958</v>
      </c>
      <c r="CK131" t="str">
        <f t="shared" si="311"/>
        <v>42 Secretarial and related occupations</v>
      </c>
      <c r="CL131" s="67">
        <f t="shared" si="302"/>
        <v>-0.77695161359358167</v>
      </c>
      <c r="CM131" s="67">
        <f t="shared" si="302"/>
        <v>-2.3463152556403735</v>
      </c>
      <c r="CN131" s="67">
        <f t="shared" si="302"/>
        <v>1.5267957775678234</v>
      </c>
      <c r="CO131" s="67">
        <f t="shared" si="302"/>
        <v>-5.0811891168040653</v>
      </c>
      <c r="CP131" s="67">
        <f t="shared" si="303"/>
        <v>-3.5543933392362419</v>
      </c>
    </row>
    <row r="132" spans="1:94" x14ac:dyDescent="0.3">
      <c r="A132" t="str">
        <f t="shared" si="285"/>
        <v>51 Skilled agricultural and related trades</v>
      </c>
      <c r="B132" s="26">
        <f t="shared" si="286"/>
        <v>0.33751093617653172</v>
      </c>
      <c r="C132" s="26">
        <f t="shared" si="286"/>
        <v>-0.19864662108580255</v>
      </c>
      <c r="D132" s="26">
        <f t="shared" si="286"/>
        <v>0.2284600272896663</v>
      </c>
      <c r="E132" s="26">
        <f t="shared" si="286"/>
        <v>0.56510256998338249</v>
      </c>
      <c r="F132" s="26">
        <f t="shared" si="287"/>
        <v>0.79356259727304879</v>
      </c>
      <c r="L132" t="str">
        <f t="shared" si="304"/>
        <v>51 Skilled agricultural and related trades</v>
      </c>
      <c r="M132" s="26">
        <f t="shared" si="288"/>
        <v>0.88482946013297425</v>
      </c>
      <c r="N132" s="26">
        <f t="shared" si="288"/>
        <v>-0.88047711981188126</v>
      </c>
      <c r="O132" s="26">
        <f t="shared" si="288"/>
        <v>1.2822319886880917</v>
      </c>
      <c r="P132" s="26">
        <f t="shared" si="288"/>
        <v>3.412167796131194</v>
      </c>
      <c r="Q132" s="26">
        <f t="shared" si="289"/>
        <v>4.6943997848192858</v>
      </c>
      <c r="W132" t="str">
        <f t="shared" si="305"/>
        <v>51 Skilled agricultural and related trades</v>
      </c>
      <c r="X132" s="26">
        <f t="shared" si="290"/>
        <v>1.9097564954364898</v>
      </c>
      <c r="Y132" s="26">
        <f t="shared" si="290"/>
        <v>2.9766088695902368</v>
      </c>
      <c r="Z132" s="26">
        <f t="shared" si="290"/>
        <v>6.5113156979894953</v>
      </c>
      <c r="AA132" s="26">
        <f t="shared" si="290"/>
        <v>18.942955241112607</v>
      </c>
      <c r="AB132" s="26">
        <f t="shared" si="291"/>
        <v>25.454270939102102</v>
      </c>
      <c r="AH132" t="str">
        <f t="shared" si="306"/>
        <v>51 Skilled agricultural and related trades</v>
      </c>
      <c r="AI132" s="26">
        <f t="shared" si="292"/>
        <v>2.158671931563795</v>
      </c>
      <c r="AJ132" s="26">
        <f t="shared" si="292"/>
        <v>-1.5071264288364326</v>
      </c>
      <c r="AK132" s="26">
        <f t="shared" si="292"/>
        <v>3.0488848134746078</v>
      </c>
      <c r="AL132" s="26">
        <f t="shared" si="292"/>
        <v>6.711401325170872</v>
      </c>
      <c r="AM132" s="26">
        <f t="shared" si="293"/>
        <v>9.7602861386454798</v>
      </c>
      <c r="AS132" t="str">
        <f t="shared" si="307"/>
        <v>51 Skilled agricultural and related trades</v>
      </c>
      <c r="AT132" s="26">
        <f t="shared" si="294"/>
        <v>2.0776674191049196</v>
      </c>
      <c r="AU132" s="26">
        <f t="shared" si="294"/>
        <v>-1.4414995554909211</v>
      </c>
      <c r="AV132" s="26">
        <f t="shared" si="294"/>
        <v>2.9963983742031459</v>
      </c>
      <c r="AW132" s="26">
        <f t="shared" si="294"/>
        <v>10.336421512657534</v>
      </c>
      <c r="AX132" s="26">
        <f t="shared" si="295"/>
        <v>13.33281988686068</v>
      </c>
      <c r="BD132" t="str">
        <f t="shared" si="308"/>
        <v>51 Skilled agricultural and related trades</v>
      </c>
      <c r="BE132" s="26">
        <f t="shared" si="296"/>
        <v>-0.23501072064804873</v>
      </c>
      <c r="BF132" s="26">
        <f t="shared" si="296"/>
        <v>-5.6383272155158366</v>
      </c>
      <c r="BG132" s="26">
        <f t="shared" si="296"/>
        <v>-1.6705120543476255</v>
      </c>
      <c r="BH132" s="26">
        <f t="shared" si="296"/>
        <v>1.573425484161703</v>
      </c>
      <c r="BI132" s="26">
        <f t="shared" si="297"/>
        <v>-9.7086570185922483E-2</v>
      </c>
      <c r="BO132" t="str">
        <f t="shared" si="309"/>
        <v>51 Skilled agricultural and related trades</v>
      </c>
      <c r="BP132" s="26">
        <f t="shared" si="298"/>
        <v>0.94682491135833402</v>
      </c>
      <c r="BQ132" s="26">
        <f t="shared" si="298"/>
        <v>-11.517525751607934</v>
      </c>
      <c r="BR132" s="26">
        <f t="shared" si="298"/>
        <v>-1.475181786426397</v>
      </c>
      <c r="BS132" s="26">
        <f t="shared" si="298"/>
        <v>-1.460131545069558</v>
      </c>
      <c r="BT132" s="26">
        <f t="shared" si="299"/>
        <v>-2.935313331495955</v>
      </c>
      <c r="BZ132" t="str">
        <f t="shared" si="310"/>
        <v>51 Skilled agricultural and related trades</v>
      </c>
      <c r="CA132" s="67">
        <f t="shared" si="300"/>
        <v>-2.8695425956114562</v>
      </c>
      <c r="CB132" s="67">
        <f t="shared" si="300"/>
        <v>-6.645663557841786</v>
      </c>
      <c r="CC132" s="67">
        <f t="shared" si="300"/>
        <v>-2.4913869457779825</v>
      </c>
      <c r="CD132" s="67">
        <f t="shared" si="300"/>
        <v>4.6500947603220411</v>
      </c>
      <c r="CE132" s="67">
        <f t="shared" si="301"/>
        <v>2.1587078145440586</v>
      </c>
      <c r="CK132" t="str">
        <f t="shared" si="311"/>
        <v>51 Skilled agricultural and related trades</v>
      </c>
      <c r="CL132" s="67">
        <f t="shared" si="302"/>
        <v>-1.7815198091083744</v>
      </c>
      <c r="CM132" s="67">
        <f t="shared" si="302"/>
        <v>-6.1770320655068254</v>
      </c>
      <c r="CN132" s="67">
        <f t="shared" si="302"/>
        <v>-1.5894909624069768</v>
      </c>
      <c r="CO132" s="67">
        <f t="shared" si="302"/>
        <v>-13.474706590591401</v>
      </c>
      <c r="CP132" s="67">
        <f t="shared" si="303"/>
        <v>-15.064197552998378</v>
      </c>
    </row>
    <row r="133" spans="1:94" x14ac:dyDescent="0.3">
      <c r="A133" t="str">
        <f t="shared" si="285"/>
        <v>52 Skilled metal, electrical and electronic trades</v>
      </c>
      <c r="B133" s="26">
        <f t="shared" si="286"/>
        <v>0.23139574291455078</v>
      </c>
      <c r="C133" s="26">
        <f t="shared" si="286"/>
        <v>3.7751885210927316E-2</v>
      </c>
      <c r="D133" s="26">
        <f t="shared" si="286"/>
        <v>0.42471163831657921</v>
      </c>
      <c r="E133" s="26">
        <f t="shared" si="286"/>
        <v>1.0258156019611333</v>
      </c>
      <c r="F133" s="26">
        <f t="shared" si="287"/>
        <v>1.4505272402777125</v>
      </c>
      <c r="L133" t="str">
        <f t="shared" si="304"/>
        <v>52 Skilled metal, electrical and electronic trades</v>
      </c>
      <c r="M133" s="26">
        <f t="shared" si="288"/>
        <v>5.7366222051679294</v>
      </c>
      <c r="N133" s="26">
        <f t="shared" si="288"/>
        <v>-3.4039483246606359</v>
      </c>
      <c r="O133" s="26">
        <f t="shared" si="288"/>
        <v>13.762298971337913</v>
      </c>
      <c r="P133" s="26">
        <f t="shared" si="288"/>
        <v>24.071705438770351</v>
      </c>
      <c r="Q133" s="26">
        <f t="shared" si="289"/>
        <v>37.834004410108264</v>
      </c>
      <c r="W133" t="str">
        <f t="shared" si="305"/>
        <v>52 Skilled metal, electrical and electronic trades</v>
      </c>
      <c r="X133" s="26">
        <f t="shared" si="290"/>
        <v>4.8175041551792219</v>
      </c>
      <c r="Y133" s="26">
        <f t="shared" si="290"/>
        <v>-8.7603987320747478</v>
      </c>
      <c r="Z133" s="26">
        <f t="shared" si="290"/>
        <v>13.110249150874978</v>
      </c>
      <c r="AA133" s="26">
        <f t="shared" si="290"/>
        <v>17.985133499100229</v>
      </c>
      <c r="AB133" s="26">
        <f t="shared" si="291"/>
        <v>31.095382649975207</v>
      </c>
      <c r="AH133" t="str">
        <f t="shared" si="306"/>
        <v>52 Skilled metal, electrical and electronic trades</v>
      </c>
      <c r="AI133" s="26">
        <f t="shared" si="292"/>
        <v>1.2568173373118761</v>
      </c>
      <c r="AJ133" s="26">
        <f t="shared" si="292"/>
        <v>-1.913087273549035</v>
      </c>
      <c r="AK133" s="26">
        <f t="shared" si="292"/>
        <v>2.2317001748037022</v>
      </c>
      <c r="AL133" s="26">
        <f t="shared" si="292"/>
        <v>6.1628837874883082</v>
      </c>
      <c r="AM133" s="26">
        <f t="shared" si="293"/>
        <v>8.3945839622920104</v>
      </c>
      <c r="AS133" t="str">
        <f t="shared" si="307"/>
        <v>52 Skilled metal, electrical and electronic trades</v>
      </c>
      <c r="AT133" s="26">
        <f t="shared" si="294"/>
        <v>2.6942879125822969</v>
      </c>
      <c r="AU133" s="26">
        <f t="shared" si="294"/>
        <v>-8.0678189628358155</v>
      </c>
      <c r="AV133" s="26">
        <f t="shared" si="294"/>
        <v>7.3058979352321103</v>
      </c>
      <c r="AW133" s="26">
        <f t="shared" si="294"/>
        <v>17.990927431921108</v>
      </c>
      <c r="AX133" s="26">
        <f t="shared" si="295"/>
        <v>25.296825367153218</v>
      </c>
      <c r="BD133" t="str">
        <f t="shared" si="308"/>
        <v>52 Skilled metal, electrical and electronic trades</v>
      </c>
      <c r="BE133" s="26">
        <f t="shared" si="296"/>
        <v>10.205716292990644</v>
      </c>
      <c r="BF133" s="26">
        <f t="shared" si="296"/>
        <v>-44.818205045223579</v>
      </c>
      <c r="BG133" s="26">
        <f t="shared" si="296"/>
        <v>-12.060833976805554</v>
      </c>
      <c r="BH133" s="26">
        <f t="shared" si="296"/>
        <v>-22.933179133809801</v>
      </c>
      <c r="BI133" s="26">
        <f t="shared" si="297"/>
        <v>-34.994013110615356</v>
      </c>
      <c r="BO133" t="str">
        <f t="shared" si="309"/>
        <v>52 Skilled metal, electrical and electronic trades</v>
      </c>
      <c r="BP133" s="26">
        <f t="shared" si="298"/>
        <v>1.8843581728071683</v>
      </c>
      <c r="BQ133" s="26">
        <f t="shared" si="298"/>
        <v>-37.806456728492094</v>
      </c>
      <c r="BR133" s="26">
        <f t="shared" si="298"/>
        <v>-17.46249912741257</v>
      </c>
      <c r="BS133" s="26">
        <f t="shared" si="298"/>
        <v>-38.182448547528168</v>
      </c>
      <c r="BT133" s="26">
        <f t="shared" si="299"/>
        <v>-55.644947674940738</v>
      </c>
      <c r="BZ133" t="str">
        <f t="shared" si="310"/>
        <v>52 Skilled metal, electrical and electronic trades</v>
      </c>
      <c r="CA133" s="67">
        <f t="shared" si="300"/>
        <v>-5.4017813699868213</v>
      </c>
      <c r="CB133" s="67">
        <f t="shared" si="300"/>
        <v>-22.062472301878586</v>
      </c>
      <c r="CC133" s="67">
        <f t="shared" si="300"/>
        <v>-7.8571487590588305</v>
      </c>
      <c r="CD133" s="67">
        <f t="shared" si="300"/>
        <v>-42.767779131084446</v>
      </c>
      <c r="CE133" s="67">
        <f t="shared" si="301"/>
        <v>-50.624927890143276</v>
      </c>
      <c r="CK133" t="str">
        <f t="shared" si="311"/>
        <v>52 Skilled metal, electrical and electronic trades</v>
      </c>
      <c r="CL133" s="67">
        <f t="shared" si="302"/>
        <v>0.60205400364934292</v>
      </c>
      <c r="CM133" s="67">
        <f t="shared" si="302"/>
        <v>-11.034137147727101</v>
      </c>
      <c r="CN133" s="67">
        <f t="shared" si="302"/>
        <v>-4.0561711644958223</v>
      </c>
      <c r="CO133" s="67">
        <f t="shared" si="302"/>
        <v>-12.43071609734541</v>
      </c>
      <c r="CP133" s="67">
        <f t="shared" si="303"/>
        <v>-16.486887261841233</v>
      </c>
    </row>
    <row r="134" spans="1:94" x14ac:dyDescent="0.3">
      <c r="A134" t="str">
        <f t="shared" si="285"/>
        <v>53 Skilled construction and building trades</v>
      </c>
      <c r="B134" s="26">
        <f t="shared" si="286"/>
        <v>-0.12175290525218557</v>
      </c>
      <c r="C134" s="26">
        <f t="shared" si="286"/>
        <v>-0.11187108259905842</v>
      </c>
      <c r="D134" s="26">
        <f t="shared" si="286"/>
        <v>0.26743755165648059</v>
      </c>
      <c r="E134" s="26">
        <f t="shared" si="286"/>
        <v>0.173664842506696</v>
      </c>
      <c r="F134" s="26">
        <f t="shared" si="287"/>
        <v>0.44110239416317659</v>
      </c>
      <c r="L134" t="str">
        <f t="shared" si="304"/>
        <v>53 Skilled construction and building trades</v>
      </c>
      <c r="M134" s="26">
        <f t="shared" si="288"/>
        <v>1.8380578212270109</v>
      </c>
      <c r="N134" s="26">
        <f t="shared" si="288"/>
        <v>-1.993349208254676</v>
      </c>
      <c r="O134" s="26">
        <f t="shared" si="288"/>
        <v>5.2980900474721011</v>
      </c>
      <c r="P134" s="26">
        <f t="shared" si="288"/>
        <v>9.4334569085271198</v>
      </c>
      <c r="Q134" s="26">
        <f t="shared" si="289"/>
        <v>14.731546955999221</v>
      </c>
      <c r="W134" t="str">
        <f t="shared" si="305"/>
        <v>53 Skilled construction and building trades</v>
      </c>
      <c r="X134" s="26">
        <f t="shared" si="290"/>
        <v>-0.90398629648977646</v>
      </c>
      <c r="Y134" s="26">
        <f t="shared" si="290"/>
        <v>-4.0145708493879866</v>
      </c>
      <c r="Z134" s="26">
        <f t="shared" si="290"/>
        <v>7.9414642031119769</v>
      </c>
      <c r="AA134" s="26">
        <f t="shared" si="290"/>
        <v>7.2619647551739064</v>
      </c>
      <c r="AB134" s="26">
        <f t="shared" si="291"/>
        <v>15.203428958285883</v>
      </c>
      <c r="AH134" t="str">
        <f t="shared" si="306"/>
        <v>53 Skilled construction and building trades</v>
      </c>
      <c r="AI134" s="26">
        <f t="shared" si="292"/>
        <v>2.1336724492297989</v>
      </c>
      <c r="AJ134" s="26">
        <f t="shared" si="292"/>
        <v>-2.8205349580963208</v>
      </c>
      <c r="AK134" s="26">
        <f t="shared" si="292"/>
        <v>4.8180745118961994</v>
      </c>
      <c r="AL134" s="26">
        <f t="shared" si="292"/>
        <v>5.654701187411316</v>
      </c>
      <c r="AM134" s="26">
        <f t="shared" si="293"/>
        <v>10.472775699307515</v>
      </c>
      <c r="AS134" t="str">
        <f t="shared" si="307"/>
        <v>53 Skilled construction and building trades</v>
      </c>
      <c r="AT134" s="26">
        <f t="shared" si="294"/>
        <v>-0.53855096888514353</v>
      </c>
      <c r="AU134" s="26">
        <f t="shared" si="294"/>
        <v>-2.9416230937845462</v>
      </c>
      <c r="AV134" s="26">
        <f t="shared" si="294"/>
        <v>8.5252056676236876</v>
      </c>
      <c r="AW134" s="26">
        <f t="shared" si="294"/>
        <v>6.3229229434891963</v>
      </c>
      <c r="AX134" s="26">
        <f t="shared" si="295"/>
        <v>14.848128611112884</v>
      </c>
      <c r="BD134" t="str">
        <f t="shared" si="308"/>
        <v>53 Skilled construction and building trades</v>
      </c>
      <c r="BE134" s="26">
        <f t="shared" si="296"/>
        <v>-15.68003136312592</v>
      </c>
      <c r="BF134" s="26">
        <f t="shared" si="296"/>
        <v>-36.634877663396253</v>
      </c>
      <c r="BG134" s="26">
        <f t="shared" si="296"/>
        <v>-0.290991064535433</v>
      </c>
      <c r="BH134" s="26">
        <f t="shared" si="296"/>
        <v>-29.309905364059603</v>
      </c>
      <c r="BI134" s="26">
        <f t="shared" si="297"/>
        <v>-29.600896428595036</v>
      </c>
      <c r="BO134" t="str">
        <f t="shared" si="309"/>
        <v>53 Skilled construction and building trades</v>
      </c>
      <c r="BP134" s="26">
        <f t="shared" si="298"/>
        <v>16.428839414293407</v>
      </c>
      <c r="BQ134" s="26">
        <f t="shared" si="298"/>
        <v>-47.018062137015932</v>
      </c>
      <c r="BR134" s="26">
        <f t="shared" si="298"/>
        <v>24.135036469049282</v>
      </c>
      <c r="BS134" s="26">
        <f t="shared" si="298"/>
        <v>-4.9714234517610407</v>
      </c>
      <c r="BT134" s="26">
        <f t="shared" si="299"/>
        <v>19.163613017288242</v>
      </c>
      <c r="BZ134" t="str">
        <f t="shared" si="310"/>
        <v>53 Skilled construction and building trades</v>
      </c>
      <c r="CA134" s="67">
        <f t="shared" si="300"/>
        <v>-5.3166764691115702</v>
      </c>
      <c r="CB134" s="67">
        <f t="shared" si="300"/>
        <v>-26.200580335088318</v>
      </c>
      <c r="CC134" s="67">
        <f t="shared" si="300"/>
        <v>5.5728962706921976</v>
      </c>
      <c r="CD134" s="67">
        <f t="shared" si="300"/>
        <v>-9.6098635604135154</v>
      </c>
      <c r="CE134" s="67">
        <f t="shared" si="301"/>
        <v>-4.0369672897213178</v>
      </c>
      <c r="CK134" t="str">
        <f t="shared" si="311"/>
        <v>53 Skilled construction and building trades</v>
      </c>
      <c r="CL134" s="67">
        <f t="shared" si="302"/>
        <v>-8.6690813762978536</v>
      </c>
      <c r="CM134" s="67">
        <f t="shared" si="302"/>
        <v>-18.088792807918416</v>
      </c>
      <c r="CN134" s="67">
        <f t="shared" si="302"/>
        <v>-14.752730560594848</v>
      </c>
      <c r="CO134" s="67">
        <f t="shared" si="302"/>
        <v>-30.813696743623854</v>
      </c>
      <c r="CP134" s="67">
        <f t="shared" si="303"/>
        <v>-45.566427304218706</v>
      </c>
    </row>
    <row r="135" spans="1:94" x14ac:dyDescent="0.3">
      <c r="A135" t="str">
        <f t="shared" si="285"/>
        <v>54 Textiles, printing and other skilled trades</v>
      </c>
      <c r="B135" s="26">
        <f t="shared" si="286"/>
        <v>0.15957700713970313</v>
      </c>
      <c r="C135" s="26">
        <f t="shared" si="286"/>
        <v>-2.7129263768467471E-2</v>
      </c>
      <c r="D135" s="26">
        <f t="shared" si="286"/>
        <v>0.88358281044167519</v>
      </c>
      <c r="E135" s="26">
        <f t="shared" si="286"/>
        <v>1.5393164960445391</v>
      </c>
      <c r="F135" s="26">
        <f t="shared" si="287"/>
        <v>2.4228993064862143</v>
      </c>
      <c r="L135" t="str">
        <f t="shared" si="304"/>
        <v>54 Textiles, printing and other skilled trades</v>
      </c>
      <c r="M135" s="26">
        <f t="shared" si="288"/>
        <v>4.1936089425740342</v>
      </c>
      <c r="N135" s="26">
        <f t="shared" si="288"/>
        <v>0.63817423560604425</v>
      </c>
      <c r="O135" s="26">
        <f t="shared" si="288"/>
        <v>9.8065350676231233</v>
      </c>
      <c r="P135" s="26">
        <f t="shared" si="288"/>
        <v>23.271355036705337</v>
      </c>
      <c r="Q135" s="26">
        <f t="shared" si="289"/>
        <v>33.077890104328461</v>
      </c>
      <c r="W135" t="str">
        <f t="shared" si="305"/>
        <v>54 Textiles, printing and other skilled trades</v>
      </c>
      <c r="X135" s="26">
        <f t="shared" si="290"/>
        <v>0.54128381953240279</v>
      </c>
      <c r="Y135" s="26">
        <f t="shared" si="290"/>
        <v>-0.75766703830585413</v>
      </c>
      <c r="Z135" s="26">
        <f t="shared" si="290"/>
        <v>11.530377914096299</v>
      </c>
      <c r="AA135" s="26">
        <f t="shared" si="290"/>
        <v>17.583656849053718</v>
      </c>
      <c r="AB135" s="26">
        <f t="shared" si="291"/>
        <v>29.114034763150016</v>
      </c>
      <c r="AH135" t="str">
        <f t="shared" si="306"/>
        <v>54 Textiles, printing and other skilled trades</v>
      </c>
      <c r="AI135" s="26">
        <f t="shared" si="292"/>
        <v>-0.71239996190178445</v>
      </c>
      <c r="AJ135" s="26">
        <f t="shared" si="292"/>
        <v>1.103845026980359</v>
      </c>
      <c r="AK135" s="26">
        <f t="shared" si="292"/>
        <v>1.5917177955762121</v>
      </c>
      <c r="AL135" s="26">
        <f t="shared" si="292"/>
        <v>5.1236890838732023</v>
      </c>
      <c r="AM135" s="26">
        <f t="shared" si="293"/>
        <v>6.7154068794494144</v>
      </c>
      <c r="AS135" t="str">
        <f t="shared" si="307"/>
        <v>54 Textiles, printing and other skilled trades</v>
      </c>
      <c r="AT135" s="26">
        <f t="shared" si="294"/>
        <v>-0.88888228210218756</v>
      </c>
      <c r="AU135" s="26">
        <f t="shared" si="294"/>
        <v>0.40511707208737491</v>
      </c>
      <c r="AV135" s="26">
        <f t="shared" si="294"/>
        <v>3.7720182337208108</v>
      </c>
      <c r="AW135" s="26">
        <f t="shared" si="294"/>
        <v>5.5306395462578877</v>
      </c>
      <c r="AX135" s="26">
        <f t="shared" si="295"/>
        <v>9.3026577799786985</v>
      </c>
      <c r="BD135" t="str">
        <f t="shared" si="308"/>
        <v>54 Textiles, printing and other skilled trades</v>
      </c>
      <c r="BE135" s="26">
        <f t="shared" si="296"/>
        <v>-9.0754165793556467</v>
      </c>
      <c r="BF135" s="26">
        <f t="shared" si="296"/>
        <v>-6.4572797615662694</v>
      </c>
      <c r="BG135" s="26">
        <f t="shared" si="296"/>
        <v>7.1456197918654709</v>
      </c>
      <c r="BH135" s="26">
        <f t="shared" si="296"/>
        <v>2.3621322131000397</v>
      </c>
      <c r="BI135" s="26">
        <f t="shared" si="297"/>
        <v>9.5077520049655107</v>
      </c>
      <c r="BO135" t="str">
        <f t="shared" si="309"/>
        <v>54 Textiles, printing and other skilled trades</v>
      </c>
      <c r="BP135" s="26">
        <f t="shared" si="298"/>
        <v>-23.419303738496922</v>
      </c>
      <c r="BQ135" s="26">
        <f t="shared" si="298"/>
        <v>-8.6796486880291184</v>
      </c>
      <c r="BR135" s="26">
        <f t="shared" si="298"/>
        <v>-16.684537905229348</v>
      </c>
      <c r="BS135" s="26">
        <f t="shared" si="298"/>
        <v>-16.198132370957055</v>
      </c>
      <c r="BT135" s="26">
        <f t="shared" si="299"/>
        <v>-32.882670276186403</v>
      </c>
      <c r="BZ135" t="str">
        <f t="shared" si="310"/>
        <v>54 Textiles, printing and other skilled trades</v>
      </c>
      <c r="CA135" s="67">
        <f t="shared" si="300"/>
        <v>-13.736199565474067</v>
      </c>
      <c r="CB135" s="67">
        <f t="shared" si="300"/>
        <v>-10.709675979045969</v>
      </c>
      <c r="CC135" s="67">
        <f t="shared" si="300"/>
        <v>-3.4863910699803284</v>
      </c>
      <c r="CD135" s="67">
        <f t="shared" si="300"/>
        <v>-25.041123917350887</v>
      </c>
      <c r="CE135" s="67">
        <f t="shared" si="301"/>
        <v>-28.527514987331216</v>
      </c>
      <c r="CK135" t="str">
        <f t="shared" si="311"/>
        <v>54 Textiles, printing and other skilled trades</v>
      </c>
      <c r="CL135" s="67">
        <f t="shared" si="302"/>
        <v>-10.608422298492279</v>
      </c>
      <c r="CM135" s="67">
        <f t="shared" si="302"/>
        <v>-7.3262182294871536</v>
      </c>
      <c r="CN135" s="67">
        <f t="shared" si="302"/>
        <v>-14.352959958114926</v>
      </c>
      <c r="CO135" s="67">
        <f t="shared" si="302"/>
        <v>-10.591818674551504</v>
      </c>
      <c r="CP135" s="67">
        <f t="shared" si="303"/>
        <v>-24.944778632666431</v>
      </c>
    </row>
    <row r="136" spans="1:94" x14ac:dyDescent="0.3">
      <c r="A136" t="str">
        <f t="shared" si="285"/>
        <v>61 Caring personal service occupations</v>
      </c>
      <c r="B136" s="26">
        <f t="shared" si="286"/>
        <v>0.34595754516102417</v>
      </c>
      <c r="C136" s="26">
        <f t="shared" si="286"/>
        <v>-2.0540970690287041E-2</v>
      </c>
      <c r="D136" s="26">
        <f t="shared" si="286"/>
        <v>1.0059476131416314</v>
      </c>
      <c r="E136" s="26">
        <f t="shared" si="286"/>
        <v>1.9111657714776014</v>
      </c>
      <c r="F136" s="26">
        <f t="shared" si="287"/>
        <v>2.917113384619233</v>
      </c>
      <c r="L136" t="str">
        <f t="shared" si="304"/>
        <v>61 Caring personal service occupations</v>
      </c>
      <c r="M136" s="26">
        <f t="shared" si="288"/>
        <v>26.216969524268833</v>
      </c>
      <c r="N136" s="26">
        <f t="shared" si="288"/>
        <v>-1.3484909328104919</v>
      </c>
      <c r="O136" s="26">
        <f t="shared" si="288"/>
        <v>43.609160124334579</v>
      </c>
      <c r="P136" s="26">
        <f t="shared" si="288"/>
        <v>87.053847005442918</v>
      </c>
      <c r="Q136" s="26">
        <f t="shared" si="289"/>
        <v>130.6630071297775</v>
      </c>
      <c r="W136" t="str">
        <f t="shared" si="305"/>
        <v>61 Caring personal service occupations</v>
      </c>
      <c r="X136" s="26">
        <f t="shared" si="290"/>
        <v>27.53467209858303</v>
      </c>
      <c r="Y136" s="26">
        <f t="shared" si="290"/>
        <v>5.4688383738967445</v>
      </c>
      <c r="Z136" s="26">
        <f t="shared" si="290"/>
        <v>49.2079571276509</v>
      </c>
      <c r="AA136" s="26">
        <f t="shared" si="290"/>
        <v>72.631371285899945</v>
      </c>
      <c r="AB136" s="26">
        <f t="shared" si="291"/>
        <v>121.83932841355085</v>
      </c>
      <c r="AH136" t="str">
        <f t="shared" si="306"/>
        <v>61 Caring personal service occupations</v>
      </c>
      <c r="AI136" s="26">
        <f t="shared" si="292"/>
        <v>-2.3486731113904113</v>
      </c>
      <c r="AJ136" s="26">
        <f t="shared" si="292"/>
        <v>4.9602946707142337</v>
      </c>
      <c r="AK136" s="26">
        <f t="shared" si="292"/>
        <v>10.979839104164853</v>
      </c>
      <c r="AL136" s="26">
        <f t="shared" si="292"/>
        <v>12.285088603758339</v>
      </c>
      <c r="AM136" s="26">
        <f t="shared" si="293"/>
        <v>23.264927707923192</v>
      </c>
      <c r="AS136" t="str">
        <f t="shared" si="307"/>
        <v>61 Caring personal service occupations</v>
      </c>
      <c r="AT136" s="26">
        <f t="shared" si="294"/>
        <v>8.8738113267697827</v>
      </c>
      <c r="AU136" s="26">
        <f t="shared" si="294"/>
        <v>3.568109619087096</v>
      </c>
      <c r="AV136" s="26">
        <f t="shared" si="294"/>
        <v>9.3779380147218916</v>
      </c>
      <c r="AW136" s="26">
        <f t="shared" si="294"/>
        <v>15.544386245120876</v>
      </c>
      <c r="AX136" s="26">
        <f t="shared" si="295"/>
        <v>24.922324259842767</v>
      </c>
      <c r="BD136" t="str">
        <f t="shared" si="308"/>
        <v>61 Caring personal service occupations</v>
      </c>
      <c r="BE136" s="26">
        <f t="shared" si="296"/>
        <v>74.562651855719878</v>
      </c>
      <c r="BF136" s="26">
        <f t="shared" si="296"/>
        <v>-6.71599079926591</v>
      </c>
      <c r="BG136" s="26">
        <f t="shared" si="296"/>
        <v>84.952409623071503</v>
      </c>
      <c r="BH136" s="26">
        <f t="shared" si="296"/>
        <v>123.97825810513336</v>
      </c>
      <c r="BI136" s="26">
        <f t="shared" si="297"/>
        <v>208.93066772820487</v>
      </c>
      <c r="BO136" t="str">
        <f t="shared" si="309"/>
        <v>61 Caring personal service occupations</v>
      </c>
      <c r="BP136" s="26">
        <f t="shared" si="298"/>
        <v>-5.7498322288672625</v>
      </c>
      <c r="BQ136" s="26">
        <f t="shared" si="298"/>
        <v>-52.039349854123429</v>
      </c>
      <c r="BR136" s="26">
        <f t="shared" si="298"/>
        <v>-4.6050196923033582E-2</v>
      </c>
      <c r="BS136" s="26">
        <f t="shared" si="298"/>
        <v>-94.677824877255887</v>
      </c>
      <c r="BT136" s="26">
        <f t="shared" si="299"/>
        <v>-94.72387507417892</v>
      </c>
      <c r="BZ136" t="str">
        <f t="shared" si="310"/>
        <v>61 Caring personal service occupations</v>
      </c>
      <c r="CA136" s="67">
        <f t="shared" si="300"/>
        <v>-66.060555496123726</v>
      </c>
      <c r="CB136" s="67">
        <f t="shared" si="300"/>
        <v>-15.153165847112831</v>
      </c>
      <c r="CC136" s="67">
        <f t="shared" si="300"/>
        <v>-21.522197822917448</v>
      </c>
      <c r="CD136" s="67">
        <f t="shared" si="300"/>
        <v>-9.8323886725678875</v>
      </c>
      <c r="CE136" s="67">
        <f t="shared" si="301"/>
        <v>-31.354586495485336</v>
      </c>
      <c r="CK136" t="str">
        <f t="shared" si="311"/>
        <v>61 Caring personal service occupations</v>
      </c>
      <c r="CL136" s="67">
        <f t="shared" si="302"/>
        <v>-3.8165279267566561</v>
      </c>
      <c r="CM136" s="67">
        <f t="shared" si="302"/>
        <v>-2.5405487845940335</v>
      </c>
      <c r="CN136" s="67">
        <f t="shared" si="302"/>
        <v>1.7857791724154488</v>
      </c>
      <c r="CO136" s="67">
        <f t="shared" si="302"/>
        <v>2.2622045871493413E-2</v>
      </c>
      <c r="CP136" s="67">
        <f t="shared" si="303"/>
        <v>1.8084012182869422</v>
      </c>
    </row>
    <row r="137" spans="1:94" x14ac:dyDescent="0.3">
      <c r="A137" t="str">
        <f t="shared" si="285"/>
        <v>62 Leisure, travel and related personal service occupations</v>
      </c>
      <c r="B137" s="26">
        <f t="shared" si="286"/>
        <v>0.3531624168682308</v>
      </c>
      <c r="C137" s="26">
        <f t="shared" si="286"/>
        <v>2.8799619705625945E-2</v>
      </c>
      <c r="D137" s="26">
        <f t="shared" si="286"/>
        <v>0.45401483740438353</v>
      </c>
      <c r="E137" s="26">
        <f t="shared" si="286"/>
        <v>0.99409777026392532</v>
      </c>
      <c r="F137" s="26">
        <f t="shared" si="287"/>
        <v>1.4481126076683088</v>
      </c>
      <c r="L137" t="str">
        <f t="shared" si="304"/>
        <v>62 Leisure, travel and related personal service occupations</v>
      </c>
      <c r="M137" s="26">
        <f t="shared" si="288"/>
        <v>4.6038723173850435</v>
      </c>
      <c r="N137" s="26">
        <f t="shared" si="288"/>
        <v>-1.7349614344264701</v>
      </c>
      <c r="O137" s="26">
        <f t="shared" si="288"/>
        <v>6.342114875338968</v>
      </c>
      <c r="P137" s="26">
        <f t="shared" si="288"/>
        <v>14.265131677880262</v>
      </c>
      <c r="Q137" s="26">
        <f t="shared" si="289"/>
        <v>20.60724655321923</v>
      </c>
      <c r="W137" t="str">
        <f t="shared" si="305"/>
        <v>62 Leisure, travel and related personal service occupations</v>
      </c>
      <c r="X137" s="26">
        <f t="shared" si="290"/>
        <v>13.583049364657647</v>
      </c>
      <c r="Y137" s="26">
        <f t="shared" si="290"/>
        <v>-3.6893761534229981</v>
      </c>
      <c r="Z137" s="26">
        <f t="shared" si="290"/>
        <v>16.177315131128879</v>
      </c>
      <c r="AA137" s="26">
        <f t="shared" si="290"/>
        <v>31.414846958112079</v>
      </c>
      <c r="AB137" s="26">
        <f t="shared" si="291"/>
        <v>47.592162089240958</v>
      </c>
      <c r="AH137" t="str">
        <f t="shared" si="306"/>
        <v>62 Leisure, travel and related personal service occupations</v>
      </c>
      <c r="AI137" s="26">
        <f t="shared" si="292"/>
        <v>8.608877768317825</v>
      </c>
      <c r="AJ137" s="26">
        <f t="shared" si="292"/>
        <v>-1.1833168638923297</v>
      </c>
      <c r="AK137" s="26">
        <f t="shared" si="292"/>
        <v>6.4702043743978876</v>
      </c>
      <c r="AL137" s="26">
        <f t="shared" si="292"/>
        <v>17.263677533765666</v>
      </c>
      <c r="AM137" s="26">
        <f t="shared" si="293"/>
        <v>23.733881908163553</v>
      </c>
      <c r="AS137" t="str">
        <f t="shared" si="307"/>
        <v>62 Leisure, travel and related personal service occupations</v>
      </c>
      <c r="AT137" s="26">
        <f t="shared" si="294"/>
        <v>10.7950621571987</v>
      </c>
      <c r="AU137" s="26">
        <f t="shared" si="294"/>
        <v>2.7236281659311601</v>
      </c>
      <c r="AV137" s="26">
        <f t="shared" si="294"/>
        <v>10.513455068211449</v>
      </c>
      <c r="AW137" s="26">
        <f t="shared" si="294"/>
        <v>27.043552275901362</v>
      </c>
      <c r="AX137" s="26">
        <f t="shared" si="295"/>
        <v>37.557007344112812</v>
      </c>
      <c r="BD137" t="str">
        <f t="shared" si="308"/>
        <v>62 Leisure, travel and related personal service occupations</v>
      </c>
      <c r="BE137" s="26">
        <f t="shared" si="296"/>
        <v>7.1047444145699501</v>
      </c>
      <c r="BF137" s="26">
        <f t="shared" si="296"/>
        <v>-11.027729640745093</v>
      </c>
      <c r="BG137" s="26">
        <f t="shared" si="296"/>
        <v>-4.4929989158274566</v>
      </c>
      <c r="BH137" s="26">
        <f t="shared" si="296"/>
        <v>-9.9377119059110441</v>
      </c>
      <c r="BI137" s="26">
        <f t="shared" si="297"/>
        <v>-14.430710821738501</v>
      </c>
      <c r="BO137" t="str">
        <f t="shared" si="309"/>
        <v>62 Leisure, travel and related personal service occupations</v>
      </c>
      <c r="BP137" s="26">
        <f t="shared" si="298"/>
        <v>4.3935927479228098</v>
      </c>
      <c r="BQ137" s="26">
        <f t="shared" si="298"/>
        <v>-20.234299821455693</v>
      </c>
      <c r="BR137" s="26">
        <f t="shared" si="298"/>
        <v>-13.556264844419815</v>
      </c>
      <c r="BS137" s="26">
        <f t="shared" si="298"/>
        <v>-29.048726300547216</v>
      </c>
      <c r="BT137" s="26">
        <f t="shared" si="299"/>
        <v>-42.60499114496703</v>
      </c>
      <c r="BZ137" t="str">
        <f t="shared" si="310"/>
        <v>62 Leisure, travel and related personal service occupations</v>
      </c>
      <c r="CA137" s="67">
        <f t="shared" si="300"/>
        <v>7.7026023944468136</v>
      </c>
      <c r="CB137" s="67">
        <f t="shared" si="300"/>
        <v>-13.608239687835322</v>
      </c>
      <c r="CC137" s="67">
        <f t="shared" si="300"/>
        <v>-2.3787936822393618</v>
      </c>
      <c r="CD137" s="67">
        <f t="shared" si="300"/>
        <v>-21.489511407881764</v>
      </c>
      <c r="CE137" s="67">
        <f t="shared" si="301"/>
        <v>-23.868305090121126</v>
      </c>
      <c r="CK137" t="str">
        <f t="shared" si="311"/>
        <v>62 Leisure, travel and related personal service occupations</v>
      </c>
      <c r="CL137" s="67">
        <f t="shared" si="302"/>
        <v>-4.2394432801978894</v>
      </c>
      <c r="CM137" s="67">
        <f t="shared" si="302"/>
        <v>-6.1029572450448981</v>
      </c>
      <c r="CN137" s="67">
        <f t="shared" si="302"/>
        <v>-6.1597916502880388</v>
      </c>
      <c r="CO137" s="67">
        <f t="shared" si="302"/>
        <v>-7.291671849782837</v>
      </c>
      <c r="CP137" s="67">
        <f t="shared" si="303"/>
        <v>-13.451463500070876</v>
      </c>
    </row>
    <row r="138" spans="1:94" x14ac:dyDescent="0.3">
      <c r="A138" t="str">
        <f t="shared" si="285"/>
        <v>63 Community and civil enforcement occupations</v>
      </c>
      <c r="B138" s="26">
        <f t="shared" si="286"/>
        <v>6.7794374800473345E-3</v>
      </c>
      <c r="C138" s="26">
        <f t="shared" si="286"/>
        <v>7.4425119928337446E-3</v>
      </c>
      <c r="D138" s="26">
        <f t="shared" si="286"/>
        <v>2.3716259927587136E-2</v>
      </c>
      <c r="E138" s="26">
        <f t="shared" si="286"/>
        <v>6.4380516953669531E-2</v>
      </c>
      <c r="F138" s="26">
        <f t="shared" si="287"/>
        <v>8.8096776881256667E-2</v>
      </c>
      <c r="L138" t="str">
        <f t="shared" si="304"/>
        <v>63 Community and civil enforcement occupations</v>
      </c>
      <c r="M138" s="26">
        <f t="shared" si="288"/>
        <v>4.1650059246895133E-2</v>
      </c>
      <c r="N138" s="26">
        <f t="shared" si="288"/>
        <v>0.41106018696610924</v>
      </c>
      <c r="O138" s="26">
        <f t="shared" si="288"/>
        <v>0.11861887727335851</v>
      </c>
      <c r="P138" s="26">
        <f t="shared" si="288"/>
        <v>1.1425871287359055</v>
      </c>
      <c r="Q138" s="26">
        <f t="shared" si="289"/>
        <v>1.261206006009264</v>
      </c>
      <c r="W138" t="str">
        <f t="shared" si="305"/>
        <v>63 Community and civil enforcement occupations</v>
      </c>
      <c r="X138" s="26">
        <f t="shared" si="290"/>
        <v>0.17807923525062552</v>
      </c>
      <c r="Y138" s="26">
        <f t="shared" si="290"/>
        <v>0.74184492211988573</v>
      </c>
      <c r="Z138" s="26">
        <f t="shared" si="290"/>
        <v>0.48694339577909318</v>
      </c>
      <c r="AA138" s="26">
        <f t="shared" si="290"/>
        <v>1.4486043528192534</v>
      </c>
      <c r="AB138" s="26">
        <f t="shared" si="291"/>
        <v>1.9355477485983466</v>
      </c>
      <c r="AH138" t="str">
        <f t="shared" si="306"/>
        <v>63 Community and civil enforcement occupations</v>
      </c>
      <c r="AI138" s="26">
        <f t="shared" si="292"/>
        <v>-6.7306643334570593E-2</v>
      </c>
      <c r="AJ138" s="26">
        <f t="shared" si="292"/>
        <v>0.45800681313883951</v>
      </c>
      <c r="AK138" s="26">
        <f t="shared" si="292"/>
        <v>-0.20732557322897049</v>
      </c>
      <c r="AL138" s="26">
        <f t="shared" si="292"/>
        <v>0.34809179074484331</v>
      </c>
      <c r="AM138" s="26">
        <f t="shared" si="293"/>
        <v>0.14076621751587282</v>
      </c>
      <c r="AS138" t="str">
        <f t="shared" si="307"/>
        <v>63 Community and civil enforcement occupations</v>
      </c>
      <c r="AT138" s="26">
        <f t="shared" si="294"/>
        <v>-0.17727112568229475</v>
      </c>
      <c r="AU138" s="26">
        <f t="shared" si="294"/>
        <v>0.34299677507496806</v>
      </c>
      <c r="AV138" s="26">
        <f t="shared" si="294"/>
        <v>-0.29530133934195124</v>
      </c>
      <c r="AW138" s="26">
        <f t="shared" si="294"/>
        <v>9.108962852070901E-2</v>
      </c>
      <c r="AX138" s="26">
        <f t="shared" si="295"/>
        <v>-0.20421171082124223</v>
      </c>
      <c r="BD138" t="str">
        <f t="shared" si="308"/>
        <v>63 Community and civil enforcement occupations</v>
      </c>
      <c r="BE138" s="26">
        <f t="shared" si="296"/>
        <v>-1.5184412636540876</v>
      </c>
      <c r="BF138" s="26">
        <f t="shared" si="296"/>
        <v>1.6748660111276004</v>
      </c>
      <c r="BG138" s="26">
        <f t="shared" si="296"/>
        <v>-1.8661305424730119</v>
      </c>
      <c r="BH138" s="26">
        <f t="shared" si="296"/>
        <v>0.14889518871777119</v>
      </c>
      <c r="BI138" s="26">
        <f t="shared" si="297"/>
        <v>-1.7172353537552407</v>
      </c>
      <c r="BO138" t="str">
        <f t="shared" si="309"/>
        <v>63 Community and civil enforcement occupations</v>
      </c>
      <c r="BP138" s="26">
        <f t="shared" si="298"/>
        <v>-1.0230276395245923</v>
      </c>
      <c r="BQ138" s="26">
        <f t="shared" si="298"/>
        <v>1.5547825375130317</v>
      </c>
      <c r="BR138" s="26">
        <f t="shared" si="298"/>
        <v>-2.0043313377673746</v>
      </c>
      <c r="BS138" s="26">
        <f t="shared" si="298"/>
        <v>-0.26029439395652432</v>
      </c>
      <c r="BT138" s="26">
        <f t="shared" si="299"/>
        <v>-2.2646257317238989</v>
      </c>
      <c r="BZ138" t="str">
        <f t="shared" si="310"/>
        <v>63 Community and civil enforcement occupations</v>
      </c>
      <c r="CA138" s="67">
        <f t="shared" si="300"/>
        <v>-0.70569607093283526</v>
      </c>
      <c r="CB138" s="67">
        <f t="shared" si="300"/>
        <v>1.2692214194667448</v>
      </c>
      <c r="CC138" s="67">
        <f t="shared" si="300"/>
        <v>-1.3640979229629924</v>
      </c>
      <c r="CD138" s="67">
        <f t="shared" si="300"/>
        <v>-0.67053825802392453</v>
      </c>
      <c r="CE138" s="67">
        <f t="shared" si="301"/>
        <v>-2.0346361809869169</v>
      </c>
      <c r="CK138" t="str">
        <f t="shared" si="311"/>
        <v>63 Community and civil enforcement occupations</v>
      </c>
      <c r="CL138" s="67">
        <f t="shared" si="302"/>
        <v>-0.69957023304978394</v>
      </c>
      <c r="CM138" s="67">
        <f t="shared" si="302"/>
        <v>0.40682185147622785</v>
      </c>
      <c r="CN138" s="67">
        <f t="shared" si="302"/>
        <v>-0.86509555883037803</v>
      </c>
      <c r="CO138" s="67">
        <f t="shared" si="302"/>
        <v>-0.26278815570089964</v>
      </c>
      <c r="CP138" s="67">
        <f t="shared" si="303"/>
        <v>-1.1278837145312777</v>
      </c>
    </row>
    <row r="139" spans="1:94" x14ac:dyDescent="0.3">
      <c r="A139" t="str">
        <f t="shared" si="285"/>
        <v>71 Sales occupations</v>
      </c>
      <c r="B139" s="26">
        <f t="shared" si="286"/>
        <v>0.74626026243290688</v>
      </c>
      <c r="C139" s="26">
        <f t="shared" si="286"/>
        <v>-0.5878426520981499</v>
      </c>
      <c r="D139" s="26">
        <f t="shared" si="286"/>
        <v>1.3269663669528704</v>
      </c>
      <c r="E139" s="26">
        <f t="shared" si="286"/>
        <v>2.9010056145187821</v>
      </c>
      <c r="F139" s="26">
        <f t="shared" si="287"/>
        <v>4.2279719814716525</v>
      </c>
      <c r="L139" t="str">
        <f t="shared" si="304"/>
        <v>71 Sales occupations</v>
      </c>
      <c r="M139" s="26">
        <f t="shared" si="288"/>
        <v>12.519958491589783</v>
      </c>
      <c r="N139" s="26">
        <f t="shared" si="288"/>
        <v>1.6568508344753354</v>
      </c>
      <c r="O139" s="26">
        <f t="shared" si="288"/>
        <v>22.890043597103087</v>
      </c>
      <c r="P139" s="26">
        <f t="shared" si="288"/>
        <v>64.442613088224135</v>
      </c>
      <c r="Q139" s="26">
        <f t="shared" si="289"/>
        <v>87.332656685327223</v>
      </c>
      <c r="W139" t="str">
        <f t="shared" si="305"/>
        <v>71 Sales occupations</v>
      </c>
      <c r="X139" s="26">
        <f t="shared" si="290"/>
        <v>9.2418477599227629</v>
      </c>
      <c r="Y139" s="26">
        <f t="shared" si="290"/>
        <v>13.069036065948438</v>
      </c>
      <c r="Z139" s="26">
        <f t="shared" si="290"/>
        <v>19.774020964493047</v>
      </c>
      <c r="AA139" s="26">
        <f t="shared" si="290"/>
        <v>72.474927163802874</v>
      </c>
      <c r="AB139" s="26">
        <f t="shared" si="291"/>
        <v>92.248948128295922</v>
      </c>
      <c r="AH139" t="str">
        <f t="shared" si="306"/>
        <v>71 Sales occupations</v>
      </c>
      <c r="AI139" s="26">
        <f t="shared" si="292"/>
        <v>-0.48334879245734896</v>
      </c>
      <c r="AJ139" s="26">
        <f t="shared" si="292"/>
        <v>5.6406136875855992</v>
      </c>
      <c r="AK139" s="26">
        <f t="shared" si="292"/>
        <v>1.6495776498876893</v>
      </c>
      <c r="AL139" s="26">
        <f t="shared" si="292"/>
        <v>19.18823462391029</v>
      </c>
      <c r="AM139" s="26">
        <f t="shared" si="293"/>
        <v>20.837812273797979</v>
      </c>
      <c r="AS139" t="str">
        <f t="shared" si="307"/>
        <v>71 Sales occupations</v>
      </c>
      <c r="AT139" s="26">
        <f t="shared" si="294"/>
        <v>-2.7498377599789592</v>
      </c>
      <c r="AU139" s="26">
        <f t="shared" si="294"/>
        <v>2.6494754889989736</v>
      </c>
      <c r="AV139" s="26">
        <f t="shared" si="294"/>
        <v>-1.0369386616100513</v>
      </c>
      <c r="AW139" s="26">
        <f t="shared" si="294"/>
        <v>11.835749586655623</v>
      </c>
      <c r="AX139" s="26">
        <f t="shared" si="295"/>
        <v>10.798810925045572</v>
      </c>
      <c r="BD139" t="str">
        <f t="shared" si="308"/>
        <v>71 Sales occupations</v>
      </c>
      <c r="BE139" s="26">
        <f t="shared" si="296"/>
        <v>-12.19778803417222</v>
      </c>
      <c r="BF139" s="26">
        <f t="shared" si="296"/>
        <v>14.443007939295853</v>
      </c>
      <c r="BG139" s="26">
        <f t="shared" si="296"/>
        <v>-23.741284738347758</v>
      </c>
      <c r="BH139" s="26">
        <f t="shared" si="296"/>
        <v>11.58914418480532</v>
      </c>
      <c r="BI139" s="26">
        <f t="shared" si="297"/>
        <v>-12.152140553542438</v>
      </c>
      <c r="BO139" t="str">
        <f t="shared" si="309"/>
        <v>71 Sales occupations</v>
      </c>
      <c r="BP139" s="26">
        <f t="shared" si="298"/>
        <v>-48.888744390115676</v>
      </c>
      <c r="BQ139" s="26">
        <f t="shared" si="298"/>
        <v>-28.403417790563026</v>
      </c>
      <c r="BR139" s="26">
        <f t="shared" si="298"/>
        <v>-56.290726333512339</v>
      </c>
      <c r="BS139" s="26">
        <f t="shared" si="298"/>
        <v>-86.224297165024666</v>
      </c>
      <c r="BT139" s="26">
        <f t="shared" si="299"/>
        <v>-142.515023498537</v>
      </c>
      <c r="BZ139" t="str">
        <f t="shared" si="310"/>
        <v>71 Sales occupations</v>
      </c>
      <c r="CA139" s="67">
        <f t="shared" si="300"/>
        <v>-25.654303112856439</v>
      </c>
      <c r="CB139" s="67">
        <f t="shared" si="300"/>
        <v>-28.840332233006791</v>
      </c>
      <c r="CC139" s="67">
        <f t="shared" si="300"/>
        <v>-61.149025754493039</v>
      </c>
      <c r="CD139" s="67">
        <f t="shared" si="300"/>
        <v>-148.80585400919568</v>
      </c>
      <c r="CE139" s="67">
        <f t="shared" si="301"/>
        <v>-209.95487976368872</v>
      </c>
      <c r="CK139" t="str">
        <f t="shared" si="311"/>
        <v>71 Sales occupations</v>
      </c>
      <c r="CL139" s="67">
        <f t="shared" si="302"/>
        <v>-32.41999062023541</v>
      </c>
      <c r="CM139" s="67">
        <f t="shared" si="302"/>
        <v>-19.553661429113461</v>
      </c>
      <c r="CN139" s="67">
        <f t="shared" si="302"/>
        <v>-33.248271832677943</v>
      </c>
      <c r="CO139" s="67">
        <f t="shared" si="302"/>
        <v>-31.033287206535149</v>
      </c>
      <c r="CP139" s="67">
        <f t="shared" si="303"/>
        <v>-64.281559039213093</v>
      </c>
    </row>
    <row r="140" spans="1:94" x14ac:dyDescent="0.3">
      <c r="A140" t="str">
        <f t="shared" si="285"/>
        <v>72 Customer service occupations</v>
      </c>
      <c r="B140" s="26">
        <f t="shared" si="286"/>
        <v>0.36969496500865628</v>
      </c>
      <c r="C140" s="26">
        <f t="shared" si="286"/>
        <v>0.19856226751670114</v>
      </c>
      <c r="D140" s="26">
        <f t="shared" si="286"/>
        <v>1.6337842197831431</v>
      </c>
      <c r="E140" s="26">
        <f t="shared" si="286"/>
        <v>2.567738183398844</v>
      </c>
      <c r="F140" s="26">
        <f t="shared" si="287"/>
        <v>4.2015224031819871</v>
      </c>
      <c r="L140" t="str">
        <f t="shared" si="304"/>
        <v>72 Customer service occupations</v>
      </c>
      <c r="M140" s="26">
        <f t="shared" si="288"/>
        <v>6.1257966135109783</v>
      </c>
      <c r="N140" s="26">
        <f t="shared" si="288"/>
        <v>1.0064369174685623</v>
      </c>
      <c r="O140" s="26">
        <f t="shared" si="288"/>
        <v>17.655775312977024</v>
      </c>
      <c r="P140" s="26">
        <f t="shared" si="288"/>
        <v>26.899112394653116</v>
      </c>
      <c r="Q140" s="26">
        <f t="shared" si="289"/>
        <v>44.554887707630144</v>
      </c>
      <c r="W140" t="str">
        <f t="shared" si="305"/>
        <v>72 Customer service occupations</v>
      </c>
      <c r="X140" s="26">
        <f t="shared" si="290"/>
        <v>8.904950158480915</v>
      </c>
      <c r="Y140" s="26">
        <f t="shared" si="290"/>
        <v>7.4596797185490686</v>
      </c>
      <c r="Z140" s="26">
        <f t="shared" si="290"/>
        <v>33.760118265251421</v>
      </c>
      <c r="AA140" s="26">
        <f t="shared" si="290"/>
        <v>39.294998869269079</v>
      </c>
      <c r="AB140" s="26">
        <f t="shared" si="291"/>
        <v>73.055117134520501</v>
      </c>
      <c r="AH140" t="str">
        <f t="shared" si="306"/>
        <v>72 Customer service occupations</v>
      </c>
      <c r="AI140" s="26">
        <f t="shared" si="292"/>
        <v>3.7898226512377668</v>
      </c>
      <c r="AJ140" s="26">
        <f t="shared" si="292"/>
        <v>3.3400962772110674</v>
      </c>
      <c r="AK140" s="26">
        <f t="shared" si="292"/>
        <v>11.141528967692643</v>
      </c>
      <c r="AL140" s="26">
        <f t="shared" si="292"/>
        <v>12.714208726261887</v>
      </c>
      <c r="AM140" s="26">
        <f t="shared" si="293"/>
        <v>23.855737693954531</v>
      </c>
      <c r="AS140" t="str">
        <f t="shared" si="307"/>
        <v>72 Customer service occupations</v>
      </c>
      <c r="AT140" s="26">
        <f t="shared" si="294"/>
        <v>2.8856728843044017</v>
      </c>
      <c r="AU140" s="26">
        <f t="shared" si="294"/>
        <v>1.7131875810403443</v>
      </c>
      <c r="AV140" s="26">
        <f t="shared" si="294"/>
        <v>11.887004161332939</v>
      </c>
      <c r="AW140" s="26">
        <f t="shared" si="294"/>
        <v>9.1795169540466048</v>
      </c>
      <c r="AX140" s="26">
        <f t="shared" si="295"/>
        <v>21.066521115379544</v>
      </c>
      <c r="BD140" t="str">
        <f t="shared" si="308"/>
        <v>72 Customer service occupations</v>
      </c>
      <c r="BE140" s="26">
        <f t="shared" si="296"/>
        <v>7.4615008459206678</v>
      </c>
      <c r="BF140" s="26">
        <f t="shared" si="296"/>
        <v>6.0670620462825866</v>
      </c>
      <c r="BG140" s="26">
        <f t="shared" si="296"/>
        <v>29.358476624939229</v>
      </c>
      <c r="BH140" s="26">
        <f t="shared" si="296"/>
        <v>17.873241063984693</v>
      </c>
      <c r="BI140" s="26">
        <f t="shared" si="297"/>
        <v>47.231717688923922</v>
      </c>
      <c r="BO140" t="str">
        <f t="shared" si="309"/>
        <v>72 Customer service occupations</v>
      </c>
      <c r="BP140" s="26">
        <f t="shared" si="298"/>
        <v>9.0982318895235181</v>
      </c>
      <c r="BQ140" s="26">
        <f t="shared" si="298"/>
        <v>-5.9188765802822303</v>
      </c>
      <c r="BR140" s="26">
        <f t="shared" si="298"/>
        <v>28.245392058722487</v>
      </c>
      <c r="BS140" s="26">
        <f t="shared" si="298"/>
        <v>-11.201676283867613</v>
      </c>
      <c r="BT140" s="26">
        <f t="shared" si="299"/>
        <v>17.043715774854874</v>
      </c>
      <c r="BZ140" t="str">
        <f t="shared" si="310"/>
        <v>72 Customer service occupations</v>
      </c>
      <c r="CA140" s="67">
        <f t="shared" si="300"/>
        <v>-2.0537084555683975</v>
      </c>
      <c r="CB140" s="67">
        <f t="shared" si="300"/>
        <v>-1.8413946374138632</v>
      </c>
      <c r="CC140" s="67">
        <f t="shared" si="300"/>
        <v>4.9733454479333901</v>
      </c>
      <c r="CD140" s="67">
        <f t="shared" si="300"/>
        <v>-7.950483029517585</v>
      </c>
      <c r="CE140" s="67">
        <f t="shared" si="301"/>
        <v>-2.9771375815841949</v>
      </c>
      <c r="CK140" t="str">
        <f t="shared" si="311"/>
        <v>72 Customer service occupations</v>
      </c>
      <c r="CL140" s="67">
        <f t="shared" si="302"/>
        <v>2.651410428350939</v>
      </c>
      <c r="CM140" s="67">
        <f t="shared" si="302"/>
        <v>-0.8272859229777012</v>
      </c>
      <c r="CN140" s="67">
        <f t="shared" si="302"/>
        <v>7.9767952143959597</v>
      </c>
      <c r="CO140" s="67">
        <f t="shared" si="302"/>
        <v>3.9105308734015267</v>
      </c>
      <c r="CP140" s="67">
        <f t="shared" si="303"/>
        <v>11.887326087797486</v>
      </c>
    </row>
    <row r="141" spans="1:94" x14ac:dyDescent="0.3">
      <c r="A141" t="str">
        <f t="shared" si="285"/>
        <v>81 Process, plant and machine operatives</v>
      </c>
      <c r="B141" s="26">
        <f t="shared" si="286"/>
        <v>0.39884493093022155</v>
      </c>
      <c r="C141" s="26">
        <f t="shared" si="286"/>
        <v>-0.24707846599718453</v>
      </c>
      <c r="D141" s="26">
        <f t="shared" si="286"/>
        <v>1.0834697971267737</v>
      </c>
      <c r="E141" s="26">
        <f t="shared" si="286"/>
        <v>2.5320561434570443</v>
      </c>
      <c r="F141" s="26">
        <f t="shared" si="287"/>
        <v>3.6155259405838178</v>
      </c>
      <c r="L141" t="str">
        <f t="shared" si="304"/>
        <v>81 Process, plant and machine operatives</v>
      </c>
      <c r="M141" s="26">
        <f t="shared" si="288"/>
        <v>2.6320667403424487</v>
      </c>
      <c r="N141" s="26">
        <f t="shared" si="288"/>
        <v>-1.239263865969999</v>
      </c>
      <c r="O141" s="26">
        <f t="shared" si="288"/>
        <v>7.6262798160363214</v>
      </c>
      <c r="P141" s="26">
        <f t="shared" si="288"/>
        <v>14.884708060182994</v>
      </c>
      <c r="Q141" s="26">
        <f t="shared" si="289"/>
        <v>22.510987876219318</v>
      </c>
      <c r="W141" t="str">
        <f t="shared" si="305"/>
        <v>81 Process, plant and machine operatives</v>
      </c>
      <c r="X141" s="26">
        <f t="shared" si="290"/>
        <v>0.40822742334361095</v>
      </c>
      <c r="Y141" s="26">
        <f t="shared" si="290"/>
        <v>-1.476254695718886</v>
      </c>
      <c r="Z141" s="26">
        <f t="shared" si="290"/>
        <v>14.428899486812085</v>
      </c>
      <c r="AA141" s="26">
        <f t="shared" si="290"/>
        <v>25.838324956823115</v>
      </c>
      <c r="AB141" s="26">
        <f t="shared" si="291"/>
        <v>40.2672244436352</v>
      </c>
      <c r="AH141" t="str">
        <f t="shared" si="306"/>
        <v>81 Process, plant and machine operatives</v>
      </c>
      <c r="AI141" s="26">
        <f t="shared" si="292"/>
        <v>0.34273865383959645</v>
      </c>
      <c r="AJ141" s="26">
        <f t="shared" si="292"/>
        <v>-0.25695514032440769</v>
      </c>
      <c r="AK141" s="26">
        <f t="shared" si="292"/>
        <v>5.8968967618343768</v>
      </c>
      <c r="AL141" s="26">
        <f t="shared" si="292"/>
        <v>8.6499734435363926</v>
      </c>
      <c r="AM141" s="26">
        <f t="shared" si="293"/>
        <v>14.546870205370769</v>
      </c>
      <c r="AS141" t="str">
        <f t="shared" si="307"/>
        <v>81 Process, plant and machine operatives</v>
      </c>
      <c r="AT141" s="26">
        <f t="shared" si="294"/>
        <v>0.26023133874247861</v>
      </c>
      <c r="AU141" s="26">
        <f t="shared" si="294"/>
        <v>-1.0075950181886135</v>
      </c>
      <c r="AV141" s="26">
        <f t="shared" si="294"/>
        <v>11.183721541067282</v>
      </c>
      <c r="AW141" s="26">
        <f t="shared" si="294"/>
        <v>13.237183951032726</v>
      </c>
      <c r="AX141" s="26">
        <f t="shared" si="295"/>
        <v>24.420905492100008</v>
      </c>
      <c r="BD141" t="str">
        <f t="shared" si="308"/>
        <v>81 Process, plant and machine operatives</v>
      </c>
      <c r="BE141" s="26">
        <f t="shared" si="296"/>
        <v>5.0069715744024279</v>
      </c>
      <c r="BF141" s="26">
        <f t="shared" si="296"/>
        <v>-14.497259822780251</v>
      </c>
      <c r="BG141" s="26">
        <f t="shared" si="296"/>
        <v>47.347810883797194</v>
      </c>
      <c r="BH141" s="26">
        <f t="shared" si="296"/>
        <v>29.178468277088598</v>
      </c>
      <c r="BI141" s="26">
        <f t="shared" si="297"/>
        <v>76.526279160885792</v>
      </c>
      <c r="BO141" t="str">
        <f t="shared" si="309"/>
        <v>81 Process, plant and machine operatives</v>
      </c>
      <c r="BP141" s="26">
        <f t="shared" si="298"/>
        <v>1.1211629607756777</v>
      </c>
      <c r="BQ141" s="26">
        <f t="shared" si="298"/>
        <v>-26.277401954225496</v>
      </c>
      <c r="BR141" s="26">
        <f t="shared" si="298"/>
        <v>48.510497719794699</v>
      </c>
      <c r="BS141" s="26">
        <f t="shared" si="298"/>
        <v>-6.9705435840222663</v>
      </c>
      <c r="BT141" s="26">
        <f t="shared" si="299"/>
        <v>41.539954135772433</v>
      </c>
      <c r="BZ141" t="str">
        <f t="shared" si="310"/>
        <v>81 Process, plant and machine operatives</v>
      </c>
      <c r="CA141" s="67">
        <f t="shared" si="300"/>
        <v>-11.020803551007958</v>
      </c>
      <c r="CB141" s="67">
        <f t="shared" si="300"/>
        <v>-26.575934579320972</v>
      </c>
      <c r="CC141" s="67">
        <f t="shared" si="300"/>
        <v>12.236065649075186</v>
      </c>
      <c r="CD141" s="67">
        <f t="shared" si="300"/>
        <v>-83.641137128512753</v>
      </c>
      <c r="CE141" s="67">
        <f t="shared" si="301"/>
        <v>-71.405071479437566</v>
      </c>
      <c r="CK141" t="str">
        <f t="shared" si="311"/>
        <v>81 Process, plant and machine operatives</v>
      </c>
      <c r="CL141" s="67">
        <f t="shared" si="302"/>
        <v>-20.74212772266516</v>
      </c>
      <c r="CM141" s="67">
        <f t="shared" si="302"/>
        <v>-12.861005453931483</v>
      </c>
      <c r="CN141" s="67">
        <f t="shared" si="302"/>
        <v>-24.577513709197518</v>
      </c>
      <c r="CO141" s="67">
        <f t="shared" si="302"/>
        <v>-18.335685553016827</v>
      </c>
      <c r="CP141" s="67">
        <f t="shared" si="303"/>
        <v>-42.913199262214349</v>
      </c>
    </row>
    <row r="142" spans="1:94" x14ac:dyDescent="0.3">
      <c r="A142" t="str">
        <f t="shared" si="285"/>
        <v>82 Transport and mobile machine drivers and operatives</v>
      </c>
      <c r="B142" s="26">
        <f t="shared" si="286"/>
        <v>1.1812646837098755</v>
      </c>
      <c r="C142" s="26">
        <f t="shared" si="286"/>
        <v>-0.23487712036611974</v>
      </c>
      <c r="D142" s="26">
        <f t="shared" si="286"/>
        <v>2.3751249774765286</v>
      </c>
      <c r="E142" s="26">
        <f t="shared" si="286"/>
        <v>4.3770631528287538</v>
      </c>
      <c r="F142" s="26">
        <f t="shared" si="287"/>
        <v>6.7521881303052824</v>
      </c>
      <c r="L142" t="str">
        <f t="shared" si="304"/>
        <v>82 Transport and mobile machine drivers and operatives</v>
      </c>
      <c r="M142" s="26">
        <f t="shared" si="288"/>
        <v>7.0490840906347998</v>
      </c>
      <c r="N142" s="26">
        <f t="shared" si="288"/>
        <v>-0.60563665182491988</v>
      </c>
      <c r="O142" s="26">
        <f t="shared" si="288"/>
        <v>12.002834295161982</v>
      </c>
      <c r="P142" s="26">
        <f t="shared" si="288"/>
        <v>24.969456993171221</v>
      </c>
      <c r="Q142" s="26">
        <f t="shared" si="289"/>
        <v>36.972291288333203</v>
      </c>
      <c r="W142" t="str">
        <f t="shared" si="305"/>
        <v>82 Transport and mobile machine drivers and operatives</v>
      </c>
      <c r="X142" s="26">
        <f t="shared" si="290"/>
        <v>12.703277510103668</v>
      </c>
      <c r="Y142" s="26">
        <f t="shared" si="290"/>
        <v>4.9322767868318351E-3</v>
      </c>
      <c r="Z142" s="26">
        <f t="shared" si="290"/>
        <v>14.753673456200993</v>
      </c>
      <c r="AA142" s="26">
        <f t="shared" si="290"/>
        <v>25.588738864082316</v>
      </c>
      <c r="AB142" s="26">
        <f t="shared" si="291"/>
        <v>40.342412320283309</v>
      </c>
      <c r="AH142" t="str">
        <f t="shared" si="306"/>
        <v>82 Transport and mobile machine drivers and operatives</v>
      </c>
      <c r="AI142" s="26">
        <f t="shared" si="292"/>
        <v>6.1785135572279302</v>
      </c>
      <c r="AJ142" s="26">
        <f t="shared" si="292"/>
        <v>0.29212990445095599</v>
      </c>
      <c r="AK142" s="26">
        <f t="shared" si="292"/>
        <v>7.3016388788684203</v>
      </c>
      <c r="AL142" s="26">
        <f t="shared" si="292"/>
        <v>9.9627136059841774</v>
      </c>
      <c r="AM142" s="26">
        <f t="shared" si="293"/>
        <v>17.264352484852598</v>
      </c>
      <c r="AS142" t="str">
        <f t="shared" si="307"/>
        <v>82 Transport and mobile machine drivers and operatives</v>
      </c>
      <c r="AT142" s="26">
        <f t="shared" si="294"/>
        <v>7.2369019464832505</v>
      </c>
      <c r="AU142" s="26">
        <f t="shared" si="294"/>
        <v>0.64157463082719346</v>
      </c>
      <c r="AV142" s="26">
        <f t="shared" si="294"/>
        <v>10.071719391715966</v>
      </c>
      <c r="AW142" s="26">
        <f t="shared" si="294"/>
        <v>13.428115059082828</v>
      </c>
      <c r="AX142" s="26">
        <f t="shared" si="295"/>
        <v>23.499834450798794</v>
      </c>
      <c r="BD142" t="str">
        <f t="shared" si="308"/>
        <v>82 Transport and mobile machine drivers and operatives</v>
      </c>
      <c r="BE142" s="26">
        <f t="shared" si="296"/>
        <v>25.675314547707274</v>
      </c>
      <c r="BF142" s="26">
        <f t="shared" si="296"/>
        <v>-10.431493421594212</v>
      </c>
      <c r="BG142" s="26">
        <f t="shared" si="296"/>
        <v>24.839694938581744</v>
      </c>
      <c r="BH142" s="26">
        <f t="shared" si="296"/>
        <v>24.717129518449411</v>
      </c>
      <c r="BI142" s="26">
        <f t="shared" si="297"/>
        <v>49.556824457031155</v>
      </c>
      <c r="BO142" t="str">
        <f t="shared" si="309"/>
        <v>82 Transport and mobile machine drivers and operatives</v>
      </c>
      <c r="BP142" s="26">
        <f t="shared" si="298"/>
        <v>45.731851222736452</v>
      </c>
      <c r="BQ142" s="26">
        <f t="shared" si="298"/>
        <v>-46.263537665051786</v>
      </c>
      <c r="BR142" s="26">
        <f t="shared" si="298"/>
        <v>34.483214690025534</v>
      </c>
      <c r="BS142" s="26">
        <f t="shared" si="298"/>
        <v>-2.975106927944978</v>
      </c>
      <c r="BT142" s="26">
        <f t="shared" si="299"/>
        <v>31.508107762080556</v>
      </c>
      <c r="BZ142" t="str">
        <f t="shared" si="310"/>
        <v>82 Transport and mobile machine drivers and operatives</v>
      </c>
      <c r="CA142" s="67">
        <f t="shared" si="300"/>
        <v>8.5040425463108136</v>
      </c>
      <c r="CB142" s="67">
        <f t="shared" si="300"/>
        <v>-44.238752110020584</v>
      </c>
      <c r="CC142" s="67">
        <f t="shared" si="300"/>
        <v>-6.9138330650434909</v>
      </c>
      <c r="CD142" s="67">
        <f t="shared" si="300"/>
        <v>-57.051273740605154</v>
      </c>
      <c r="CE142" s="67">
        <f t="shared" si="301"/>
        <v>-63.965106805648645</v>
      </c>
      <c r="CK142" t="str">
        <f t="shared" si="311"/>
        <v>82 Transport and mobile machine drivers and operatives</v>
      </c>
      <c r="CL142" s="67">
        <f t="shared" si="302"/>
        <v>10.554817070479629</v>
      </c>
      <c r="CM142" s="67">
        <f t="shared" si="302"/>
        <v>-23.136130440466985</v>
      </c>
      <c r="CN142" s="67">
        <f t="shared" si="302"/>
        <v>-16.855770769040092</v>
      </c>
      <c r="CO142" s="67">
        <f t="shared" si="302"/>
        <v>-44.234883673990375</v>
      </c>
      <c r="CP142" s="67">
        <f t="shared" si="303"/>
        <v>-61.090654443030466</v>
      </c>
    </row>
    <row r="143" spans="1:94" x14ac:dyDescent="0.3">
      <c r="A143" t="str">
        <f t="shared" si="285"/>
        <v>91 Elementary trades and related occupations</v>
      </c>
      <c r="B143" s="26">
        <f t="shared" si="286"/>
        <v>-6.8554284046649233E-4</v>
      </c>
      <c r="C143" s="26">
        <f t="shared" si="286"/>
        <v>-1.3092836128317138E-3</v>
      </c>
      <c r="D143" s="26">
        <f t="shared" si="286"/>
        <v>3.0616437389087599E-3</v>
      </c>
      <c r="E143" s="26">
        <f t="shared" si="286"/>
        <v>1.500202010765975E-2</v>
      </c>
      <c r="F143" s="26">
        <f t="shared" si="287"/>
        <v>1.806366384656851E-2</v>
      </c>
      <c r="L143" t="str">
        <f t="shared" si="304"/>
        <v>91 Elementary trades and related occupations</v>
      </c>
      <c r="M143" s="26">
        <f t="shared" si="288"/>
        <v>1.0434777302583944</v>
      </c>
      <c r="N143" s="26">
        <f t="shared" si="288"/>
        <v>-1.0222447794201965</v>
      </c>
      <c r="O143" s="26">
        <f t="shared" si="288"/>
        <v>1.4336525527401323</v>
      </c>
      <c r="P143" s="26">
        <f t="shared" si="288"/>
        <v>4.3478139268141014</v>
      </c>
      <c r="Q143" s="26">
        <f t="shared" si="289"/>
        <v>5.7814664795542337</v>
      </c>
      <c r="W143" t="str">
        <f t="shared" si="305"/>
        <v>91 Elementary trades and related occupations</v>
      </c>
      <c r="X143" s="26">
        <f t="shared" si="290"/>
        <v>-9.6082034387947601E-3</v>
      </c>
      <c r="Y143" s="26">
        <f t="shared" si="290"/>
        <v>-1.5597000548013398</v>
      </c>
      <c r="Z143" s="26">
        <f t="shared" si="290"/>
        <v>-0.48093719067631469</v>
      </c>
      <c r="AA143" s="26">
        <f t="shared" si="290"/>
        <v>2.7173371941699394</v>
      </c>
      <c r="AB143" s="26">
        <f t="shared" si="291"/>
        <v>2.2364000034936247</v>
      </c>
      <c r="AH143" t="str">
        <f t="shared" si="306"/>
        <v>91 Elementary trades and related occupations</v>
      </c>
      <c r="AI143" s="26">
        <f t="shared" si="292"/>
        <v>0.17327556848287529</v>
      </c>
      <c r="AJ143" s="26">
        <f t="shared" si="292"/>
        <v>-1.2545987319794651</v>
      </c>
      <c r="AK143" s="26">
        <f t="shared" si="292"/>
        <v>3.9114777282719615E-2</v>
      </c>
      <c r="AL143" s="26">
        <f t="shared" si="292"/>
        <v>3.2500346801418019</v>
      </c>
      <c r="AM143" s="26">
        <f t="shared" si="293"/>
        <v>3.2891494574245215</v>
      </c>
      <c r="AS143" t="str">
        <f t="shared" si="307"/>
        <v>91 Elementary trades and related occupations</v>
      </c>
      <c r="AT143" s="26">
        <f t="shared" si="294"/>
        <v>-0.31797550183213374</v>
      </c>
      <c r="AU143" s="26">
        <f t="shared" si="294"/>
        <v>0.31546347327626201</v>
      </c>
      <c r="AV143" s="26">
        <f t="shared" si="294"/>
        <v>-0.45298579465147348</v>
      </c>
      <c r="AW143" s="26">
        <f t="shared" si="294"/>
        <v>2.1997992015639554</v>
      </c>
      <c r="AX143" s="26">
        <f t="shared" si="295"/>
        <v>1.7468134069124819</v>
      </c>
      <c r="BD143" t="str">
        <f t="shared" si="308"/>
        <v>91 Elementary trades and related occupations</v>
      </c>
      <c r="BE143" s="26">
        <f t="shared" si="296"/>
        <v>-6.8626789477618075</v>
      </c>
      <c r="BF143" s="26">
        <f t="shared" si="296"/>
        <v>-4.3052494402568868</v>
      </c>
      <c r="BG143" s="26">
        <f t="shared" si="296"/>
        <v>-3.9215602688439972</v>
      </c>
      <c r="BH143" s="26">
        <f t="shared" si="296"/>
        <v>8.6816701982916342</v>
      </c>
      <c r="BI143" s="26">
        <f t="shared" si="297"/>
        <v>4.760109929447637</v>
      </c>
      <c r="BO143" t="str">
        <f t="shared" si="309"/>
        <v>91 Elementary trades and related occupations</v>
      </c>
      <c r="BP143" s="26">
        <f t="shared" si="298"/>
        <v>-13.321274923370865</v>
      </c>
      <c r="BQ143" s="26">
        <f t="shared" si="298"/>
        <v>-11.220454354424447</v>
      </c>
      <c r="BR143" s="26">
        <f t="shared" si="298"/>
        <v>-15.565782270388823</v>
      </c>
      <c r="BS143" s="26">
        <f t="shared" si="298"/>
        <v>-4.9629212095815234</v>
      </c>
      <c r="BT143" s="26">
        <f t="shared" si="299"/>
        <v>-20.528703479970346</v>
      </c>
      <c r="BZ143" t="str">
        <f t="shared" si="310"/>
        <v>91 Elementary trades and related occupations</v>
      </c>
      <c r="CA143" s="67">
        <f t="shared" si="300"/>
        <v>-15.907990993751497</v>
      </c>
      <c r="CB143" s="67">
        <f t="shared" si="300"/>
        <v>-19.576969500821704</v>
      </c>
      <c r="CC143" s="67">
        <f t="shared" si="300"/>
        <v>-25.353927312917961</v>
      </c>
      <c r="CD143" s="67">
        <f t="shared" si="300"/>
        <v>-20.649825320909969</v>
      </c>
      <c r="CE143" s="67">
        <f t="shared" si="301"/>
        <v>-46.003752633827929</v>
      </c>
      <c r="CK143" t="str">
        <f t="shared" si="311"/>
        <v>91 Elementary trades and related occupations</v>
      </c>
      <c r="CL143" s="67">
        <f t="shared" si="302"/>
        <v>-12.154901208633333</v>
      </c>
      <c r="CM143" s="67">
        <f t="shared" si="302"/>
        <v>-8.5731963916863307</v>
      </c>
      <c r="CN143" s="67">
        <f t="shared" si="302"/>
        <v>-15.648377258872934</v>
      </c>
      <c r="CO143" s="67">
        <f t="shared" si="302"/>
        <v>-11.780181020526172</v>
      </c>
      <c r="CP143" s="67">
        <f t="shared" si="303"/>
        <v>-27.428558279399105</v>
      </c>
    </row>
    <row r="144" spans="1:94" x14ac:dyDescent="0.3">
      <c r="A144" t="str">
        <f t="shared" si="285"/>
        <v>92 Elementary administration and service occupations</v>
      </c>
      <c r="B144" s="26">
        <f t="shared" si="286"/>
        <v>0.51037336641523967</v>
      </c>
      <c r="C144" s="26">
        <f t="shared" si="286"/>
        <v>-2.8469352872993792E-2</v>
      </c>
      <c r="D144" s="26">
        <f t="shared" si="286"/>
        <v>1.1023039560665535</v>
      </c>
      <c r="E144" s="26">
        <f t="shared" si="286"/>
        <v>1.8699710628046717</v>
      </c>
      <c r="F144" s="26">
        <f t="shared" si="287"/>
        <v>2.9722750188712252</v>
      </c>
      <c r="L144" t="str">
        <f t="shared" ref="L144" si="312">A144</f>
        <v>92 Elementary administration and service occupations</v>
      </c>
      <c r="M144" s="26">
        <f t="shared" si="288"/>
        <v>20.815068772393829</v>
      </c>
      <c r="N144" s="26">
        <f t="shared" si="288"/>
        <v>2.6375788757465131</v>
      </c>
      <c r="O144" s="26">
        <f t="shared" si="288"/>
        <v>41.413474031900918</v>
      </c>
      <c r="P144" s="26">
        <f t="shared" si="288"/>
        <v>99.936085860998844</v>
      </c>
      <c r="Q144" s="26">
        <f t="shared" si="289"/>
        <v>141.34955989289978</v>
      </c>
      <c r="W144" t="str">
        <f t="shared" ref="W144" si="313">A144</f>
        <v>92 Elementary administration and service occupations</v>
      </c>
      <c r="X144" s="26">
        <f t="shared" si="290"/>
        <v>35.420892679201216</v>
      </c>
      <c r="Y144" s="26">
        <f t="shared" si="290"/>
        <v>8.0364774371613805</v>
      </c>
      <c r="Z144" s="26">
        <f t="shared" si="290"/>
        <v>48.087690729651939</v>
      </c>
      <c r="AA144" s="26">
        <f t="shared" si="290"/>
        <v>87.480404175645788</v>
      </c>
      <c r="AB144" s="26">
        <f t="shared" si="291"/>
        <v>135.56809490529773</v>
      </c>
      <c r="AH144" t="str">
        <f t="shared" ref="AH144" si="314">L144</f>
        <v>92 Elementary administration and service occupations</v>
      </c>
      <c r="AI144" s="26">
        <f t="shared" si="292"/>
        <v>17.442007571149688</v>
      </c>
      <c r="AJ144" s="26">
        <f t="shared" si="292"/>
        <v>5.2493690065757193</v>
      </c>
      <c r="AK144" s="26">
        <f t="shared" si="292"/>
        <v>20.991231484325141</v>
      </c>
      <c r="AL144" s="26">
        <f t="shared" si="292"/>
        <v>44.620431964208478</v>
      </c>
      <c r="AM144" s="26">
        <f t="shared" si="293"/>
        <v>65.611663448533619</v>
      </c>
      <c r="AS144" t="str">
        <f t="shared" ref="AS144" si="315">W144</f>
        <v>92 Elementary administration and service occupations</v>
      </c>
      <c r="AT144" s="26">
        <f t="shared" si="294"/>
        <v>9.816996440867598</v>
      </c>
      <c r="AU144" s="26">
        <f t="shared" si="294"/>
        <v>8.0587932857842048</v>
      </c>
      <c r="AV144" s="26">
        <f t="shared" si="294"/>
        <v>16.294946156067354</v>
      </c>
      <c r="AW144" s="26">
        <f t="shared" si="294"/>
        <v>37.702049255709625</v>
      </c>
      <c r="AX144" s="26">
        <f t="shared" si="295"/>
        <v>53.996995411776979</v>
      </c>
      <c r="BD144" t="str">
        <f t="shared" ref="BD144" si="316">AH144</f>
        <v>92 Elementary administration and service occupations</v>
      </c>
      <c r="BE144" s="26">
        <f t="shared" si="296"/>
        <v>-11.664846239765666</v>
      </c>
      <c r="BF144" s="26">
        <f t="shared" si="296"/>
        <v>-18.646177965297113</v>
      </c>
      <c r="BG144" s="26">
        <f t="shared" si="296"/>
        <v>-3.3431326874756451</v>
      </c>
      <c r="BH144" s="26">
        <f t="shared" si="296"/>
        <v>-5.3576677236042656</v>
      </c>
      <c r="BI144" s="26">
        <f t="shared" si="297"/>
        <v>-8.7008004110799106</v>
      </c>
      <c r="BO144" t="str">
        <f t="shared" ref="BO144" si="317">AS144</f>
        <v>92 Elementary administration and service occupations</v>
      </c>
      <c r="BP144" s="26">
        <f t="shared" si="298"/>
        <v>32.899010682131461</v>
      </c>
      <c r="BQ144" s="26">
        <f t="shared" si="298"/>
        <v>-93.991524734625841</v>
      </c>
      <c r="BR144" s="26">
        <f t="shared" si="298"/>
        <v>27.015967965647064</v>
      </c>
      <c r="BS144" s="26">
        <f t="shared" si="298"/>
        <v>-90.30680532465783</v>
      </c>
      <c r="BT144" s="26">
        <f t="shared" si="299"/>
        <v>-63.290837359010766</v>
      </c>
      <c r="BZ144" t="str">
        <f t="shared" ref="BZ144" si="318">BD144</f>
        <v>92 Elementary administration and service occupations</v>
      </c>
      <c r="CA144" s="67">
        <f t="shared" si="300"/>
        <v>11.224693049632606</v>
      </c>
      <c r="CB144" s="67">
        <f t="shared" si="300"/>
        <v>-90.286811359190665</v>
      </c>
      <c r="CC144" s="67">
        <f t="shared" si="300"/>
        <v>-15.486383125217571</v>
      </c>
      <c r="CD144" s="67">
        <f t="shared" si="300"/>
        <v>-198.64512999232994</v>
      </c>
      <c r="CE144" s="67">
        <f t="shared" si="301"/>
        <v>-214.13151311754751</v>
      </c>
      <c r="CK144" t="str">
        <f t="shared" ref="CK144" si="319">BO144</f>
        <v>92 Elementary administration and service occupations</v>
      </c>
      <c r="CL144" s="67">
        <f t="shared" si="302"/>
        <v>-81.055800699325516</v>
      </c>
      <c r="CM144" s="67">
        <f t="shared" si="302"/>
        <v>-62.562393812858005</v>
      </c>
      <c r="CN144" s="67">
        <f t="shared" si="302"/>
        <v>-67.828291241090369</v>
      </c>
      <c r="CO144" s="67">
        <f t="shared" si="302"/>
        <v>-63.828861000835005</v>
      </c>
      <c r="CP144" s="67">
        <f t="shared" si="303"/>
        <v>-131.65715224192536</v>
      </c>
    </row>
    <row r="145" spans="1:94" x14ac:dyDescent="0.3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3">
      <c r="A146" s="23" t="str">
        <f t="shared" ref="A146" si="320">A35</f>
        <v>All occupations</v>
      </c>
      <c r="B146" s="28">
        <f>C35-B35</f>
        <v>114.05250629572498</v>
      </c>
      <c r="C146" s="28">
        <f>D35-C35</f>
        <v>14.875036541474856</v>
      </c>
      <c r="D146" s="28">
        <f>E35-D35</f>
        <v>147.20654142953799</v>
      </c>
      <c r="E146" s="28">
        <f>F35-E35</f>
        <v>264.44121439893058</v>
      </c>
      <c r="F146" s="28">
        <f>F35-D35</f>
        <v>411.64775582846858</v>
      </c>
      <c r="L146" s="23" t="str">
        <f t="shared" ref="L146" si="321">L35</f>
        <v>All occupations</v>
      </c>
      <c r="M146" s="28">
        <f>N35-M35</f>
        <v>848.38953704396272</v>
      </c>
      <c r="N146" s="28">
        <f t="shared" ref="N146" si="322">O35-N35</f>
        <v>162.78571843569944</v>
      </c>
      <c r="O146" s="28">
        <f>P35-O35</f>
        <v>1056.3332726483795</v>
      </c>
      <c r="P146" s="28">
        <f>Q35-P35</f>
        <v>1967.7541208168204</v>
      </c>
      <c r="Q146" s="28">
        <f>Q35-O35</f>
        <v>3024.0873934652</v>
      </c>
      <c r="W146" s="23" t="str">
        <f t="shared" ref="W146" si="323">W35</f>
        <v>All occupations</v>
      </c>
      <c r="X146" s="28">
        <f>Y35-X35</f>
        <v>523.39696621487928</v>
      </c>
      <c r="Y146" s="28">
        <f t="shared" ref="Y146" si="324">Z35-Y35</f>
        <v>284.00796176678068</v>
      </c>
      <c r="Z146" s="28">
        <f>AA35-Z35</f>
        <v>394.56796535512876</v>
      </c>
      <c r="AA146" s="28">
        <f>AB35-AA35</f>
        <v>813.66093339177769</v>
      </c>
      <c r="AB146" s="28">
        <f>AB35-Z35</f>
        <v>1208.2288987469065</v>
      </c>
      <c r="AH146" s="23" t="str">
        <f t="shared" ref="AH146" si="325">AH35</f>
        <v>All occupations</v>
      </c>
      <c r="AI146" s="28">
        <f>AJ35-AI35</f>
        <v>-0.26041069974098718</v>
      </c>
      <c r="AJ146" s="28">
        <f t="shared" ref="AJ146" si="326">AK35-AJ35</f>
        <v>71.440061330822346</v>
      </c>
      <c r="AK146" s="28">
        <f>AL35-AK35</f>
        <v>-2.4134744136717927</v>
      </c>
      <c r="AL146" s="28">
        <f>AM35-AL35</f>
        <v>165.32484997219444</v>
      </c>
      <c r="AM146" s="28">
        <f>AM35-AK35</f>
        <v>162.91137555852265</v>
      </c>
      <c r="AS146" s="23" t="str">
        <f t="shared" ref="AS146" si="327">AS35</f>
        <v>All occupations</v>
      </c>
      <c r="AT146" s="28">
        <f>AU35-AT35</f>
        <v>103.89385143022173</v>
      </c>
      <c r="AU146" s="28">
        <f t="shared" ref="AU146" si="328">AV35-AU35</f>
        <v>85.767746412254837</v>
      </c>
      <c r="AV146" s="28">
        <f>AW35-AV35</f>
        <v>72.49410056507395</v>
      </c>
      <c r="AW146" s="28">
        <f>AX35-AW35</f>
        <v>239.46827972887604</v>
      </c>
      <c r="AX146" s="28">
        <f>AX35-AV35</f>
        <v>311.96238029394999</v>
      </c>
      <c r="BD146" s="23" t="str">
        <f t="shared" ref="BD146" si="329">BD35</f>
        <v>All occupations</v>
      </c>
      <c r="BE146" s="28">
        <f>BF35-BE35</f>
        <v>193.58807751514723</v>
      </c>
      <c r="BF146" s="28">
        <f t="shared" ref="BF146" si="330">BG35-BF35</f>
        <v>9.945196342264353</v>
      </c>
      <c r="BG146" s="28">
        <f>BH35-BG35</f>
        <v>-30.863822094381248</v>
      </c>
      <c r="BH146" s="28">
        <f>BI35-BH35</f>
        <v>8.9453494890358343</v>
      </c>
      <c r="BI146" s="28">
        <f>BI35-BG35</f>
        <v>-21.918472605345414</v>
      </c>
      <c r="BO146" s="23" t="str">
        <f t="shared" ref="BO146" si="331">BO35</f>
        <v>All occupations</v>
      </c>
      <c r="BP146" s="28">
        <f>BQ35-BP35</f>
        <v>48.503951427135689</v>
      </c>
      <c r="BQ146" s="28">
        <f t="shared" ref="BQ146" si="332">BR35-BQ35</f>
        <v>-428.60154572320698</v>
      </c>
      <c r="BR146" s="28">
        <f>BS35-BR35</f>
        <v>-195.71538847553347</v>
      </c>
      <c r="BS146" s="28">
        <f>BT35-BS35</f>
        <v>-861.9037846627798</v>
      </c>
      <c r="BT146" s="28">
        <f>BT35-BR35</f>
        <v>-1057.6191731383133</v>
      </c>
      <c r="BZ146" s="23" t="str">
        <f t="shared" ref="BZ146" si="333">BZ35</f>
        <v>All occupations</v>
      </c>
      <c r="CA146" s="69">
        <f>CB35-CA35</f>
        <v>-122.85355092084819</v>
      </c>
      <c r="CB146" s="69">
        <f t="shared" ref="CB146" si="334">CC35-CB35</f>
        <v>-358.1666355501784</v>
      </c>
      <c r="CC146" s="69">
        <f>CD35-CC35</f>
        <v>-344.10364690789174</v>
      </c>
      <c r="CD146" s="69">
        <f>CE35-CD35</f>
        <v>-1039.5260186447044</v>
      </c>
      <c r="CE146" s="69">
        <f>CE35-CC35</f>
        <v>-1383.6296655525962</v>
      </c>
      <c r="CK146" s="23" t="str">
        <f t="shared" ref="CK146" si="335">CK35</f>
        <v>All occupations</v>
      </c>
      <c r="CL146" s="69">
        <f>CM35-CL35</f>
        <v>-152.12292831037735</v>
      </c>
      <c r="CM146" s="69">
        <f t="shared" ref="CM146" si="336">CN35-CM35</f>
        <v>-195.13253955474966</v>
      </c>
      <c r="CN146" s="69">
        <f>CO35-CN35</f>
        <v>-202.43854809164566</v>
      </c>
      <c r="CO146" s="69">
        <f>CP35-CO35</f>
        <v>-242.82194450127281</v>
      </c>
      <c r="CP146" s="69">
        <f>CP35-CN35</f>
        <v>-445.26049259291847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5234375" defaultRowHeight="12.45" x14ac:dyDescent="0.3"/>
  <cols>
    <col min="1" max="1" width="55.69140625" style="90" customWidth="1"/>
    <col min="2" max="4" width="11.69140625" style="90" customWidth="1"/>
    <col min="5" max="5" width="14.69140625" style="90" customWidth="1"/>
    <col min="6" max="8" width="11.69140625" style="90" customWidth="1"/>
    <col min="9" max="9" width="16.53515625" style="90" customWidth="1"/>
    <col min="10" max="11" width="11.69140625" style="90" customWidth="1"/>
    <col min="12" max="12" width="2.69140625" style="90" customWidth="1"/>
    <col min="13" max="22" width="11.69140625" style="90" customWidth="1"/>
    <col min="23" max="23" width="2.69140625" style="90" customWidth="1"/>
    <col min="24" max="32" width="11.69140625" style="90" customWidth="1"/>
    <col min="33" max="33" width="12.84375" style="90" customWidth="1"/>
    <col min="34" max="16384" width="9.15234375" style="90"/>
  </cols>
  <sheetData>
    <row r="1" spans="1:33" ht="15.45" x14ac:dyDescent="0.4">
      <c r="A1" s="18" t="str">
        <f>CONCATENATE("Basic Table 3  Occupation by Qualification in ",A$6,", ",Info!B5)</f>
        <v>Basic Table 3  Occupation by Qualification in 2020, England</v>
      </c>
    </row>
    <row r="2" spans="1:33" x14ac:dyDescent="0.3">
      <c r="A2" s="181" t="s">
        <v>538</v>
      </c>
    </row>
    <row r="3" spans="1:33" x14ac:dyDescent="0.3">
      <c r="AG3" s="91"/>
    </row>
    <row r="4" spans="1:33" x14ac:dyDescent="0.3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3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49.75" x14ac:dyDescent="0.3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3">
      <c r="A8" s="10" t="str">
        <f>name!D4</f>
        <v>11 Corporate managers and directors</v>
      </c>
      <c r="B8" s="68">
        <f>'Basic T2'!D8</f>
        <v>39.870453276102609</v>
      </c>
      <c r="C8" s="68">
        <f>'Basic T2'!O8</f>
        <v>334.53804190043962</v>
      </c>
      <c r="D8" s="68">
        <f>'Basic T2'!Z8</f>
        <v>677.38190194145841</v>
      </c>
      <c r="E8" s="68">
        <f>'Basic T2'!AK8</f>
        <v>125.51937758512969</v>
      </c>
      <c r="F8" s="68">
        <f>'Basic T2'!AV8</f>
        <v>185.37923214333375</v>
      </c>
      <c r="G8" s="68">
        <f>'Basic T2'!BG8</f>
        <v>397.6061392904486</v>
      </c>
      <c r="H8" s="68">
        <f>'Basic T2'!BR8</f>
        <v>291.23100410902242</v>
      </c>
      <c r="I8" s="68">
        <f>'Basic T2'!CC8</f>
        <v>209.1630231570343</v>
      </c>
      <c r="J8" s="68">
        <f>'Basic T2'!CN8</f>
        <v>40.174012245844281</v>
      </c>
      <c r="K8" s="309">
        <f>SUM(B8:J8)</f>
        <v>2300.8631856488132</v>
      </c>
      <c r="L8" s="96"/>
      <c r="M8" s="96">
        <f t="shared" ref="M8:M33" si="0">B8/B$35*100</f>
        <v>7.6285498162325576</v>
      </c>
      <c r="N8" s="96">
        <f t="shared" ref="N8:N33" si="1">C8/C$35*100</f>
        <v>8.8847893670305833</v>
      </c>
      <c r="O8" s="96">
        <f t="shared" ref="O8:O33" si="2">D8/D$35*100</f>
        <v>10.597694184790514</v>
      </c>
      <c r="P8" s="96">
        <f t="shared" ref="P8:P33" si="3">E8/E$35*100</f>
        <v>7.3577755530075128</v>
      </c>
      <c r="Q8" s="96">
        <f t="shared" ref="Q8:Q33" si="4">F8/F$35*100</f>
        <v>10.725366105789513</v>
      </c>
      <c r="R8" s="96">
        <f t="shared" ref="R8:R33" si="5">G8/G$35*100</f>
        <v>6.8050675305533765</v>
      </c>
      <c r="S8" s="96">
        <f t="shared" ref="S8:S33" si="6">H8/H$35*100</f>
        <v>5.463830389868316</v>
      </c>
      <c r="T8" s="96">
        <f t="shared" ref="T8:T33" si="7">I8/I$35*100</f>
        <v>6.0921136436070364</v>
      </c>
      <c r="U8" s="96">
        <f t="shared" ref="U8:U33" si="8">J8/J$35*100</f>
        <v>3.5262022153566908</v>
      </c>
      <c r="V8" s="96">
        <f t="shared" ref="V8:V33" si="9">K8/K$35*100</f>
        <v>7.7055852862232381</v>
      </c>
      <c r="W8" s="96"/>
      <c r="X8" s="96">
        <f t="shared" ref="X8:X32" si="10">IF($K8&gt;0,B8/$K8*100,0)</f>
        <v>1.7328476340873638</v>
      </c>
      <c r="Y8" s="96">
        <f t="shared" ref="Y8:AG23" si="11">IF($K8&gt;0,C8/$K8*100,0)</f>
        <v>14.539675543815713</v>
      </c>
      <c r="Z8" s="96">
        <f t="shared" si="11"/>
        <v>29.440338137725718</v>
      </c>
      <c r="AA8" s="96">
        <f t="shared" si="11"/>
        <v>5.4553168727298695</v>
      </c>
      <c r="AB8" s="96">
        <f t="shared" si="11"/>
        <v>8.0569428595146668</v>
      </c>
      <c r="AC8" s="96">
        <f t="shared" si="11"/>
        <v>17.280738019124282</v>
      </c>
      <c r="AD8" s="96">
        <f t="shared" si="11"/>
        <v>12.657467246445558</v>
      </c>
      <c r="AE8" s="96">
        <f t="shared" si="11"/>
        <v>9.0906327878010291</v>
      </c>
      <c r="AF8" s="96">
        <f>IF($K8&gt;0,J8/$K8*100,0)</f>
        <v>1.7460408987558178</v>
      </c>
      <c r="AG8" s="96">
        <f t="shared" si="11"/>
        <v>100</v>
      </c>
    </row>
    <row r="9" spans="1:33" x14ac:dyDescent="0.3">
      <c r="A9" s="10" t="str">
        <f>name!D5</f>
        <v>12 Other managers and proprietors</v>
      </c>
      <c r="B9" s="68">
        <f>'Basic T2'!D9</f>
        <v>13.884806301299168</v>
      </c>
      <c r="C9" s="68">
        <f>'Basic T2'!O9</f>
        <v>122.45162622075458</v>
      </c>
      <c r="D9" s="68">
        <f>'Basic T2'!Z9</f>
        <v>236.19191577325162</v>
      </c>
      <c r="E9" s="68">
        <f>'Basic T2'!AK9</f>
        <v>67.326086686381174</v>
      </c>
      <c r="F9" s="68">
        <f>'Basic T2'!AV9</f>
        <v>75.626966821140471</v>
      </c>
      <c r="G9" s="68">
        <f>'Basic T2'!BG9</f>
        <v>169.6661240836971</v>
      </c>
      <c r="H9" s="68">
        <f>'Basic T2'!BR9</f>
        <v>167.47576350175376</v>
      </c>
      <c r="I9" s="68">
        <f>'Basic T2'!CC9</f>
        <v>109.65039322397118</v>
      </c>
      <c r="J9" s="68">
        <f>'Basic T2'!CN9</f>
        <v>34.82619674150844</v>
      </c>
      <c r="K9" s="309">
        <f>SUM(B9:J9)</f>
        <v>997.0998793537575</v>
      </c>
      <c r="L9" s="96"/>
      <c r="M9" s="96">
        <f t="shared" si="0"/>
        <v>2.6566273481943807</v>
      </c>
      <c r="N9" s="96">
        <f t="shared" si="1"/>
        <v>3.2521171596548819</v>
      </c>
      <c r="O9" s="96">
        <f t="shared" si="2"/>
        <v>3.6952414658711166</v>
      </c>
      <c r="P9" s="96">
        <f t="shared" si="3"/>
        <v>3.9465638233009104</v>
      </c>
      <c r="Q9" s="96">
        <f t="shared" si="4"/>
        <v>4.3755004120416858</v>
      </c>
      <c r="R9" s="96">
        <f t="shared" si="5"/>
        <v>2.9038521238561352</v>
      </c>
      <c r="S9" s="96">
        <f t="shared" si="6"/>
        <v>3.1420389768828612</v>
      </c>
      <c r="T9" s="96">
        <f t="shared" si="7"/>
        <v>3.1936938303148921</v>
      </c>
      <c r="U9" s="96">
        <f t="shared" si="8"/>
        <v>3.0568072551692484</v>
      </c>
      <c r="V9" s="96">
        <f t="shared" si="9"/>
        <v>3.3392851027240491</v>
      </c>
      <c r="W9" s="96"/>
      <c r="X9" s="96">
        <f t="shared" si="10"/>
        <v>1.3925191035323581</v>
      </c>
      <c r="Y9" s="96">
        <f t="shared" si="11"/>
        <v>12.280778360951983</v>
      </c>
      <c r="Z9" s="96">
        <f t="shared" si="11"/>
        <v>23.687889314191153</v>
      </c>
      <c r="AA9" s="96">
        <f t="shared" si="11"/>
        <v>6.7521908366909749</v>
      </c>
      <c r="AB9" s="96">
        <f t="shared" si="11"/>
        <v>7.5846932074804769</v>
      </c>
      <c r="AC9" s="96">
        <f t="shared" si="11"/>
        <v>17.015960747449039</v>
      </c>
      <c r="AD9" s="96">
        <f t="shared" si="11"/>
        <v>16.796287610655263</v>
      </c>
      <c r="AE9" s="96">
        <f t="shared" si="11"/>
        <v>10.996931751214134</v>
      </c>
      <c r="AF9" s="96">
        <f t="shared" si="11"/>
        <v>3.4927490678346156</v>
      </c>
      <c r="AG9" s="96">
        <f t="shared" si="11"/>
        <v>100</v>
      </c>
    </row>
    <row r="10" spans="1:33" x14ac:dyDescent="0.3">
      <c r="A10" s="10" t="str">
        <f>name!D6</f>
        <v>21 Science, research, engineering and technology professionals</v>
      </c>
      <c r="B10" s="68">
        <f>'Basic T2'!D10</f>
        <v>98.409257737027872</v>
      </c>
      <c r="C10" s="68">
        <f>'Basic T2'!O10</f>
        <v>422.62994568685974</v>
      </c>
      <c r="D10" s="68">
        <f>'Basic T2'!Z10</f>
        <v>638.40250635618258</v>
      </c>
      <c r="E10" s="68">
        <f>'Basic T2'!AK10</f>
        <v>69.227298777665112</v>
      </c>
      <c r="F10" s="68">
        <f>'Basic T2'!AV10</f>
        <v>162.22978584307265</v>
      </c>
      <c r="G10" s="68">
        <f>'Basic T2'!BG10</f>
        <v>227.04543583694488</v>
      </c>
      <c r="H10" s="68">
        <f>'Basic T2'!BR10</f>
        <v>160.74396651192754</v>
      </c>
      <c r="I10" s="68">
        <f>'Basic T2'!CC10</f>
        <v>97.374645861795202</v>
      </c>
      <c r="J10" s="68">
        <f>'Basic T2'!CN10</f>
        <v>22.934972493432852</v>
      </c>
      <c r="K10" s="309">
        <f t="shared" ref="K10:K32" si="12">SUM(B10:J10)</f>
        <v>1898.9978151049086</v>
      </c>
      <c r="L10" s="96"/>
      <c r="M10" s="96">
        <f t="shared" si="0"/>
        <v>18.828978939031771</v>
      </c>
      <c r="N10" s="96">
        <f t="shared" si="1"/>
        <v>11.224367866494617</v>
      </c>
      <c r="O10" s="96">
        <f t="shared" si="2"/>
        <v>9.987858414545169</v>
      </c>
      <c r="P10" s="96">
        <f t="shared" si="3"/>
        <v>4.0580102956740207</v>
      </c>
      <c r="Q10" s="96">
        <f t="shared" si="4"/>
        <v>9.3860235923593045</v>
      </c>
      <c r="R10" s="96">
        <f t="shared" si="5"/>
        <v>3.8859045942589892</v>
      </c>
      <c r="S10" s="96">
        <f t="shared" si="6"/>
        <v>3.0157426813220098</v>
      </c>
      <c r="T10" s="96">
        <f t="shared" si="7"/>
        <v>2.8361485679554042</v>
      </c>
      <c r="U10" s="96">
        <f t="shared" si="8"/>
        <v>2.0130762723071922</v>
      </c>
      <c r="V10" s="96">
        <f t="shared" si="9"/>
        <v>6.3597391248259623</v>
      </c>
      <c r="W10" s="96"/>
      <c r="X10" s="96">
        <f t="shared" si="10"/>
        <v>5.1821680338053113</v>
      </c>
      <c r="Y10" s="96">
        <f t="shared" si="11"/>
        <v>22.255420323562188</v>
      </c>
      <c r="Z10" s="96">
        <f t="shared" si="11"/>
        <v>33.617864184899787</v>
      </c>
      <c r="AA10" s="96">
        <f t="shared" si="11"/>
        <v>3.6454648987492755</v>
      </c>
      <c r="AB10" s="96">
        <f t="shared" si="11"/>
        <v>8.542915876609916</v>
      </c>
      <c r="AC10" s="96">
        <f t="shared" si="11"/>
        <v>11.95606619612682</v>
      </c>
      <c r="AD10" s="96">
        <f t="shared" si="11"/>
        <v>8.4646735890555718</v>
      </c>
      <c r="AE10" s="96">
        <f t="shared" si="11"/>
        <v>5.1276860398291619</v>
      </c>
      <c r="AF10" s="96">
        <f t="shared" si="11"/>
        <v>1.207740857361957</v>
      </c>
      <c r="AG10" s="96">
        <f t="shared" si="11"/>
        <v>100</v>
      </c>
    </row>
    <row r="11" spans="1:33" x14ac:dyDescent="0.3">
      <c r="A11" s="10" t="str">
        <f>name!D7</f>
        <v>22 Health professionals</v>
      </c>
      <c r="B11" s="68">
        <f>'Basic T2'!D11</f>
        <v>91.512176509938257</v>
      </c>
      <c r="C11" s="68">
        <f>'Basic T2'!O11</f>
        <v>273.98678048943981</v>
      </c>
      <c r="D11" s="68">
        <f>'Basic T2'!Z11</f>
        <v>502.03871807858548</v>
      </c>
      <c r="E11" s="68">
        <f>'Basic T2'!AK11</f>
        <v>161.71136378428409</v>
      </c>
      <c r="F11" s="68">
        <f>'Basic T2'!AV11</f>
        <v>37.674851032582815</v>
      </c>
      <c r="G11" s="68">
        <f>'Basic T2'!BG11</f>
        <v>135.91196801701363</v>
      </c>
      <c r="H11" s="68">
        <f>'Basic T2'!BR11</f>
        <v>91.999950513641693</v>
      </c>
      <c r="I11" s="68">
        <f>'Basic T2'!CC11</f>
        <v>50.963902604917088</v>
      </c>
      <c r="J11" s="68">
        <f>'Basic T2'!CN11</f>
        <v>7.9382762251514727</v>
      </c>
      <c r="K11" s="309">
        <f t="shared" si="12"/>
        <v>1353.7379872555541</v>
      </c>
      <c r="L11" s="96"/>
      <c r="M11" s="96">
        <f t="shared" si="0"/>
        <v>17.509336863154207</v>
      </c>
      <c r="N11" s="96">
        <f t="shared" si="1"/>
        <v>7.2766457894315737</v>
      </c>
      <c r="O11" s="96">
        <f t="shared" si="2"/>
        <v>7.8544360099849859</v>
      </c>
      <c r="P11" s="96">
        <f t="shared" si="3"/>
        <v>9.4793006624697451</v>
      </c>
      <c r="Q11" s="96">
        <f t="shared" si="4"/>
        <v>2.1797294423633389</v>
      </c>
      <c r="R11" s="96">
        <f t="shared" si="5"/>
        <v>2.3261464780617045</v>
      </c>
      <c r="S11" s="96">
        <f t="shared" si="6"/>
        <v>1.72602545192833</v>
      </c>
      <c r="T11" s="96">
        <f t="shared" si="7"/>
        <v>1.4843822856670827</v>
      </c>
      <c r="U11" s="96">
        <f t="shared" si="8"/>
        <v>0.69676802605490429</v>
      </c>
      <c r="V11" s="96">
        <f t="shared" si="9"/>
        <v>4.5336652700870426</v>
      </c>
      <c r="W11" s="96"/>
      <c r="X11" s="96">
        <f t="shared" si="10"/>
        <v>6.7599622210101202</v>
      </c>
      <c r="Y11" s="96">
        <f t="shared" si="11"/>
        <v>20.239276955276686</v>
      </c>
      <c r="Z11" s="96">
        <f t="shared" si="11"/>
        <v>37.085368276942077</v>
      </c>
      <c r="AA11" s="96">
        <f t="shared" si="11"/>
        <v>11.945543768932945</v>
      </c>
      <c r="AB11" s="96">
        <f t="shared" si="11"/>
        <v>2.7830238485780692</v>
      </c>
      <c r="AC11" s="96">
        <f t="shared" si="11"/>
        <v>10.039754317048402</v>
      </c>
      <c r="AD11" s="96">
        <f t="shared" si="11"/>
        <v>6.7959938614232192</v>
      </c>
      <c r="AE11" s="96">
        <f t="shared" si="11"/>
        <v>3.7646799517118295</v>
      </c>
      <c r="AF11" s="96">
        <f t="shared" si="11"/>
        <v>0.58639679907666742</v>
      </c>
      <c r="AG11" s="96">
        <f t="shared" si="11"/>
        <v>100</v>
      </c>
    </row>
    <row r="12" spans="1:33" x14ac:dyDescent="0.3">
      <c r="A12" s="10" t="str">
        <f>name!D8</f>
        <v>23 Teaching and other educational professionals</v>
      </c>
      <c r="B12" s="68">
        <f>'Basic T2'!D12</f>
        <v>134.73145804762945</v>
      </c>
      <c r="C12" s="68">
        <f>'Basic T2'!O12</f>
        <v>769.67102208021038</v>
      </c>
      <c r="D12" s="68">
        <f>'Basic T2'!Z12</f>
        <v>397.63249691655278</v>
      </c>
      <c r="E12" s="68">
        <f>'Basic T2'!AK12</f>
        <v>31.848054801816456</v>
      </c>
      <c r="F12" s="68">
        <f>'Basic T2'!AV12</f>
        <v>17.327255102901187</v>
      </c>
      <c r="G12" s="68">
        <f>'Basic T2'!BG12</f>
        <v>63.69046408702404</v>
      </c>
      <c r="H12" s="68">
        <f>'Basic T2'!BR12</f>
        <v>44.840941725152462</v>
      </c>
      <c r="I12" s="68">
        <f>'Basic T2'!CC12</f>
        <v>32.902069659164546</v>
      </c>
      <c r="J12" s="68">
        <f>'Basic T2'!CN12</f>
        <v>7.8609849226766393</v>
      </c>
      <c r="K12" s="309">
        <f t="shared" si="12"/>
        <v>1500.5047473431282</v>
      </c>
      <c r="L12" s="96"/>
      <c r="M12" s="96">
        <f t="shared" si="0"/>
        <v>25.778629412924936</v>
      </c>
      <c r="N12" s="96">
        <f t="shared" si="1"/>
        <v>20.441217609341273</v>
      </c>
      <c r="O12" s="96">
        <f t="shared" si="2"/>
        <v>6.2209923060809347</v>
      </c>
      <c r="P12" s="96">
        <f t="shared" si="3"/>
        <v>1.8668897467462415</v>
      </c>
      <c r="Q12" s="96">
        <f t="shared" si="4"/>
        <v>1.0024917701856368</v>
      </c>
      <c r="R12" s="96">
        <f t="shared" si="5"/>
        <v>1.0900684530121765</v>
      </c>
      <c r="S12" s="96">
        <f t="shared" si="6"/>
        <v>0.84126791671014933</v>
      </c>
      <c r="T12" s="96">
        <f t="shared" si="7"/>
        <v>0.95831062511951648</v>
      </c>
      <c r="U12" s="96">
        <f t="shared" si="8"/>
        <v>0.68998391994305441</v>
      </c>
      <c r="V12" s="96">
        <f t="shared" si="9"/>
        <v>5.0251867973518456</v>
      </c>
      <c r="W12" s="96"/>
      <c r="X12" s="96">
        <f t="shared" si="10"/>
        <v>8.9790757600861948</v>
      </c>
      <c r="Y12" s="96">
        <f t="shared" si="11"/>
        <v>51.294141084393765</v>
      </c>
      <c r="Z12" s="96">
        <f t="shared" si="11"/>
        <v>26.499915952989923</v>
      </c>
      <c r="AA12" s="96">
        <f t="shared" si="11"/>
        <v>2.1224894395174876</v>
      </c>
      <c r="AB12" s="96">
        <f t="shared" si="11"/>
        <v>1.1547617649048914</v>
      </c>
      <c r="AC12" s="96">
        <f t="shared" si="11"/>
        <v>4.2446026378655377</v>
      </c>
      <c r="AD12" s="96">
        <f t="shared" si="11"/>
        <v>2.9883905268910453</v>
      </c>
      <c r="AE12" s="96">
        <f t="shared" si="11"/>
        <v>2.1927334596856598</v>
      </c>
      <c r="AF12" s="96">
        <f t="shared" si="11"/>
        <v>0.52388937366547539</v>
      </c>
      <c r="AG12" s="96">
        <f t="shared" si="11"/>
        <v>100</v>
      </c>
    </row>
    <row r="13" spans="1:33" x14ac:dyDescent="0.3">
      <c r="A13" s="10" t="str">
        <f>name!D9</f>
        <v>24 Business, media and public service professionals</v>
      </c>
      <c r="B13" s="68">
        <f>'Basic T2'!D13</f>
        <v>47.713705884142676</v>
      </c>
      <c r="C13" s="68">
        <f>'Basic T2'!O13</f>
        <v>593.76125530162585</v>
      </c>
      <c r="D13" s="68">
        <f>'Basic T2'!Z13</f>
        <v>864.5207406296056</v>
      </c>
      <c r="E13" s="68">
        <f>'Basic T2'!AK13</f>
        <v>76.609961718378628</v>
      </c>
      <c r="F13" s="68">
        <f>'Basic T2'!AV13</f>
        <v>132.1897102303563</v>
      </c>
      <c r="G13" s="68">
        <f>'Basic T2'!BG13</f>
        <v>266.96201664256239</v>
      </c>
      <c r="H13" s="68">
        <f>'Basic T2'!BR13</f>
        <v>172.51968025528387</v>
      </c>
      <c r="I13" s="68">
        <f>'Basic T2'!CC13</f>
        <v>109.66465696706948</v>
      </c>
      <c r="J13" s="68">
        <f>'Basic T2'!CN13</f>
        <v>25.725769443741019</v>
      </c>
      <c r="K13" s="309">
        <f t="shared" si="12"/>
        <v>2289.6674970727654</v>
      </c>
      <c r="L13" s="96"/>
      <c r="M13" s="96">
        <f t="shared" si="0"/>
        <v>9.1292260896470818</v>
      </c>
      <c r="N13" s="96">
        <f t="shared" si="1"/>
        <v>15.769338690720916</v>
      </c>
      <c r="O13" s="96">
        <f t="shared" si="2"/>
        <v>13.525496325399263</v>
      </c>
      <c r="P13" s="96">
        <f t="shared" si="3"/>
        <v>4.4907719771477481</v>
      </c>
      <c r="Q13" s="96">
        <f t="shared" si="4"/>
        <v>7.6480144040222493</v>
      </c>
      <c r="R13" s="96">
        <f t="shared" si="5"/>
        <v>4.5690807354920357</v>
      </c>
      <c r="S13" s="96">
        <f t="shared" si="6"/>
        <v>3.236668687501127</v>
      </c>
      <c r="T13" s="96">
        <f t="shared" si="7"/>
        <v>3.1941092782397997</v>
      </c>
      <c r="U13" s="96">
        <f t="shared" si="8"/>
        <v>2.2580334931236248</v>
      </c>
      <c r="V13" s="96">
        <f t="shared" si="9"/>
        <v>7.6680909520538618</v>
      </c>
      <c r="W13" s="96"/>
      <c r="X13" s="96">
        <f t="shared" si="10"/>
        <v>2.0838705159217423</v>
      </c>
      <c r="Y13" s="96">
        <f t="shared" si="11"/>
        <v>25.932204394774448</v>
      </c>
      <c r="Z13" s="96">
        <f t="shared" si="11"/>
        <v>37.757479709820558</v>
      </c>
      <c r="AA13" s="96">
        <f t="shared" si="11"/>
        <v>3.3458989925970011</v>
      </c>
      <c r="AB13" s="96">
        <f t="shared" si="11"/>
        <v>5.7733147017789594</v>
      </c>
      <c r="AC13" s="96">
        <f t="shared" si="11"/>
        <v>11.659422906769697</v>
      </c>
      <c r="AD13" s="96">
        <f t="shared" si="11"/>
        <v>7.5347045139017936</v>
      </c>
      <c r="AE13" s="96">
        <f t="shared" si="11"/>
        <v>4.7895450805529922</v>
      </c>
      <c r="AF13" s="96">
        <f t="shared" si="11"/>
        <v>1.1235591838828229</v>
      </c>
      <c r="AG13" s="96">
        <f t="shared" si="11"/>
        <v>100</v>
      </c>
    </row>
    <row r="14" spans="1:33" x14ac:dyDescent="0.3">
      <c r="A14" s="10" t="str">
        <f>name!D10</f>
        <v>31 Science, engineering and technology associate professionals</v>
      </c>
      <c r="B14" s="68">
        <f>'Basic T2'!D14</f>
        <v>13.499960752377961</v>
      </c>
      <c r="C14" s="68">
        <f>'Basic T2'!O14</f>
        <v>76.24205195722206</v>
      </c>
      <c r="D14" s="68">
        <f>'Basic T2'!Z14</f>
        <v>160.4121955974224</v>
      </c>
      <c r="E14" s="68">
        <f>'Basic T2'!AK14</f>
        <v>28.156372729838637</v>
      </c>
      <c r="F14" s="68">
        <f>'Basic T2'!AV14</f>
        <v>62.173110288973533</v>
      </c>
      <c r="G14" s="68">
        <f>'Basic T2'!BG14</f>
        <v>100.12120484020514</v>
      </c>
      <c r="H14" s="68">
        <f>'Basic T2'!BR14</f>
        <v>75.604464599403741</v>
      </c>
      <c r="I14" s="68">
        <f>'Basic T2'!CC14</f>
        <v>61.522881198585289</v>
      </c>
      <c r="J14" s="68">
        <f>'Basic T2'!CN14</f>
        <v>13.981848663581189</v>
      </c>
      <c r="K14" s="309">
        <f t="shared" si="12"/>
        <v>591.71409062761006</v>
      </c>
      <c r="L14" s="96"/>
      <c r="M14" s="96">
        <f t="shared" si="0"/>
        <v>2.5829935366806183</v>
      </c>
      <c r="N14" s="96">
        <f t="shared" si="1"/>
        <v>2.024865598847847</v>
      </c>
      <c r="O14" s="96">
        <f t="shared" si="2"/>
        <v>2.5096616658636406</v>
      </c>
      <c r="P14" s="96">
        <f t="shared" si="3"/>
        <v>1.6504883542182047</v>
      </c>
      <c r="Q14" s="96">
        <f t="shared" si="4"/>
        <v>3.5971093529467359</v>
      </c>
      <c r="R14" s="96">
        <f t="shared" si="5"/>
        <v>1.7135841045961706</v>
      </c>
      <c r="S14" s="96">
        <f t="shared" si="6"/>
        <v>1.4184271779432698</v>
      </c>
      <c r="T14" s="96">
        <f t="shared" si="7"/>
        <v>1.7919246828944646</v>
      </c>
      <c r="U14" s="96">
        <f t="shared" si="8"/>
        <v>1.227231809225179</v>
      </c>
      <c r="V14" s="96">
        <f t="shared" si="9"/>
        <v>1.9816490692841242</v>
      </c>
      <c r="W14" s="96"/>
      <c r="X14" s="96">
        <f t="shared" si="10"/>
        <v>2.2815006379278602</v>
      </c>
      <c r="Y14" s="96">
        <f t="shared" si="11"/>
        <v>12.884947843029195</v>
      </c>
      <c r="Z14" s="96">
        <f t="shared" si="11"/>
        <v>27.109747450374027</v>
      </c>
      <c r="AA14" s="96">
        <f t="shared" si="11"/>
        <v>4.758442155733384</v>
      </c>
      <c r="AB14" s="96">
        <f t="shared" si="11"/>
        <v>10.507289123878854</v>
      </c>
      <c r="AC14" s="96">
        <f t="shared" si="11"/>
        <v>16.92053754102934</v>
      </c>
      <c r="AD14" s="96">
        <f t="shared" si="11"/>
        <v>12.777195236167652</v>
      </c>
      <c r="AE14" s="96">
        <f t="shared" si="11"/>
        <v>10.397400057404441</v>
      </c>
      <c r="AF14" s="96">
        <f t="shared" si="11"/>
        <v>2.3629399544552236</v>
      </c>
      <c r="AG14" s="96">
        <f t="shared" si="11"/>
        <v>100</v>
      </c>
    </row>
    <row r="15" spans="1:33" x14ac:dyDescent="0.3">
      <c r="A15" s="10" t="str">
        <f>name!D11</f>
        <v>32 Health and social care associate professionals</v>
      </c>
      <c r="B15" s="68">
        <f>'Basic T2'!D15</f>
        <v>2.7984348873661182</v>
      </c>
      <c r="C15" s="68">
        <f>'Basic T2'!O15</f>
        <v>69.253161753372694</v>
      </c>
      <c r="D15" s="68">
        <f>'Basic T2'!Z15</f>
        <v>177.16964140077187</v>
      </c>
      <c r="E15" s="68">
        <f>'Basic T2'!AK15</f>
        <v>87.260096966449254</v>
      </c>
      <c r="F15" s="68">
        <f>'Basic T2'!AV15</f>
        <v>27.954405322607638</v>
      </c>
      <c r="G15" s="68">
        <f>'Basic T2'!BG15</f>
        <v>103.95997064809954</v>
      </c>
      <c r="H15" s="68">
        <f>'Basic T2'!BR15</f>
        <v>72.369704727264903</v>
      </c>
      <c r="I15" s="68">
        <f>'Basic T2'!CC15</f>
        <v>23.660715270075642</v>
      </c>
      <c r="J15" s="68">
        <f>'Basic T2'!CN15</f>
        <v>4.3372665579626002</v>
      </c>
      <c r="K15" s="309">
        <f t="shared" si="12"/>
        <v>568.76339753397031</v>
      </c>
      <c r="L15" s="96"/>
      <c r="M15" s="96">
        <f t="shared" si="0"/>
        <v>0.53543409195578562</v>
      </c>
      <c r="N15" s="96">
        <f t="shared" si="1"/>
        <v>1.8392519776950551</v>
      </c>
      <c r="O15" s="96">
        <f t="shared" si="2"/>
        <v>2.7718332494756379</v>
      </c>
      <c r="P15" s="96">
        <f t="shared" si="3"/>
        <v>5.1150684505056692</v>
      </c>
      <c r="Q15" s="96">
        <f t="shared" si="4"/>
        <v>1.6173399139056663</v>
      </c>
      <c r="R15" s="96">
        <f t="shared" si="5"/>
        <v>1.7792849526849823</v>
      </c>
      <c r="S15" s="96">
        <f t="shared" si="6"/>
        <v>1.3577393423627475</v>
      </c>
      <c r="T15" s="96">
        <f t="shared" si="7"/>
        <v>0.68914554847540932</v>
      </c>
      <c r="U15" s="96">
        <f t="shared" si="8"/>
        <v>0.38069583022199316</v>
      </c>
      <c r="V15" s="96">
        <f t="shared" si="9"/>
        <v>1.9047872531996068</v>
      </c>
      <c r="W15" s="96"/>
      <c r="X15" s="96">
        <f t="shared" si="10"/>
        <v>0.49202091757301902</v>
      </c>
      <c r="Y15" s="96">
        <f t="shared" si="11"/>
        <v>12.176093267189621</v>
      </c>
      <c r="Z15" s="96">
        <f t="shared" si="11"/>
        <v>31.149972408375685</v>
      </c>
      <c r="AA15" s="96">
        <f t="shared" si="11"/>
        <v>15.342073231995823</v>
      </c>
      <c r="AB15" s="96">
        <f t="shared" si="11"/>
        <v>4.9149444995602085</v>
      </c>
      <c r="AC15" s="96">
        <f t="shared" si="11"/>
        <v>18.278245593659246</v>
      </c>
      <c r="AD15" s="96">
        <f t="shared" si="11"/>
        <v>12.724043959411524</v>
      </c>
      <c r="AE15" s="96">
        <f t="shared" si="11"/>
        <v>4.1600277677261159</v>
      </c>
      <c r="AF15" s="96">
        <f t="shared" si="11"/>
        <v>0.76257835450874811</v>
      </c>
      <c r="AG15" s="96">
        <f t="shared" si="11"/>
        <v>100</v>
      </c>
    </row>
    <row r="16" spans="1:33" x14ac:dyDescent="0.3">
      <c r="A16" s="10" t="str">
        <f>name!D12</f>
        <v>33 Protective service occupations</v>
      </c>
      <c r="B16" s="68">
        <f>'Basic T2'!D16</f>
        <v>1.3190325601603494</v>
      </c>
      <c r="C16" s="68">
        <f>'Basic T2'!O16</f>
        <v>22.987488199911088</v>
      </c>
      <c r="D16" s="68">
        <f>'Basic T2'!Z16</f>
        <v>86.310332353774967</v>
      </c>
      <c r="E16" s="68">
        <f>'Basic T2'!AK16</f>
        <v>23.235788896197295</v>
      </c>
      <c r="F16" s="68">
        <f>'Basic T2'!AV16</f>
        <v>17.695784319038665</v>
      </c>
      <c r="G16" s="68">
        <f>'Basic T2'!BG16</f>
        <v>60.974063948140085</v>
      </c>
      <c r="H16" s="68">
        <f>'Basic T2'!BR16</f>
        <v>66.609898831120475</v>
      </c>
      <c r="I16" s="68">
        <f>'Basic T2'!CC16</f>
        <v>37.51388092777205</v>
      </c>
      <c r="J16" s="68">
        <f>'Basic T2'!CN16</f>
        <v>5.0484682257796267</v>
      </c>
      <c r="K16" s="309">
        <f t="shared" si="12"/>
        <v>321.6947382618946</v>
      </c>
      <c r="L16" s="96"/>
      <c r="M16" s="96">
        <f t="shared" si="0"/>
        <v>0.25237499871733576</v>
      </c>
      <c r="N16" s="96">
        <f t="shared" si="1"/>
        <v>0.610510510473107</v>
      </c>
      <c r="O16" s="96">
        <f t="shared" si="2"/>
        <v>1.3503320721314283</v>
      </c>
      <c r="P16" s="96">
        <f t="shared" si="3"/>
        <v>1.3620504083469736</v>
      </c>
      <c r="Q16" s="96">
        <f t="shared" si="4"/>
        <v>1.0238135262316321</v>
      </c>
      <c r="R16" s="96">
        <f t="shared" si="5"/>
        <v>1.0435770019040573</v>
      </c>
      <c r="S16" s="96">
        <f t="shared" si="6"/>
        <v>1.2496787236405884</v>
      </c>
      <c r="T16" s="96">
        <f t="shared" si="7"/>
        <v>1.0926349331504388</v>
      </c>
      <c r="U16" s="96">
        <f t="shared" si="8"/>
        <v>0.4431202871389443</v>
      </c>
      <c r="V16" s="96">
        <f t="shared" si="9"/>
        <v>1.0773549063097763</v>
      </c>
      <c r="W16" s="96"/>
      <c r="X16" s="96">
        <f t="shared" si="10"/>
        <v>0.41002615314351615</v>
      </c>
      <c r="Y16" s="96">
        <f t="shared" si="11"/>
        <v>7.1457457849984376</v>
      </c>
      <c r="Z16" s="96">
        <f t="shared" si="11"/>
        <v>26.829886251825773</v>
      </c>
      <c r="AA16" s="96">
        <f t="shared" si="11"/>
        <v>7.2229309754145961</v>
      </c>
      <c r="AB16" s="96">
        <f t="shared" si="11"/>
        <v>5.5008000487195927</v>
      </c>
      <c r="AC16" s="96">
        <f t="shared" si="11"/>
        <v>18.954013446903364</v>
      </c>
      <c r="AD16" s="96">
        <f t="shared" si="11"/>
        <v>20.705933578836703</v>
      </c>
      <c r="AE16" s="96">
        <f t="shared" si="11"/>
        <v>11.661328727494343</v>
      </c>
      <c r="AF16" s="96">
        <f t="shared" si="11"/>
        <v>1.5693350326636748</v>
      </c>
      <c r="AG16" s="96">
        <f t="shared" si="11"/>
        <v>100</v>
      </c>
    </row>
    <row r="17" spans="1:33" x14ac:dyDescent="0.3">
      <c r="A17" s="10" t="str">
        <f>name!D13</f>
        <v>34 Culture, media and sports occupations</v>
      </c>
      <c r="B17" s="68">
        <f>'Basic T2'!D17</f>
        <v>8.6003718913058691</v>
      </c>
      <c r="C17" s="68">
        <f>'Basic T2'!O17</f>
        <v>153.70788309073714</v>
      </c>
      <c r="D17" s="68">
        <f>'Basic T2'!Z17</f>
        <v>262.49689577770812</v>
      </c>
      <c r="E17" s="68">
        <f>'Basic T2'!AK17</f>
        <v>37.441421168767178</v>
      </c>
      <c r="F17" s="68">
        <f>'Basic T2'!AV17</f>
        <v>38.898844093847899</v>
      </c>
      <c r="G17" s="68">
        <f>'Basic T2'!BG17</f>
        <v>88.823015829416931</v>
      </c>
      <c r="H17" s="68">
        <f>'Basic T2'!BR17</f>
        <v>40.543871535620703</v>
      </c>
      <c r="I17" s="68">
        <f>'Basic T2'!CC17</f>
        <v>35.847889106949374</v>
      </c>
      <c r="J17" s="68">
        <f>'Basic T2'!CN17</f>
        <v>12.314698223340155</v>
      </c>
      <c r="K17" s="309">
        <f t="shared" si="12"/>
        <v>678.67489071769353</v>
      </c>
      <c r="L17" s="96"/>
      <c r="M17" s="96">
        <f t="shared" si="0"/>
        <v>1.6455384882789161</v>
      </c>
      <c r="N17" s="96">
        <f t="shared" si="1"/>
        <v>4.0822327934823921</v>
      </c>
      <c r="O17" s="96">
        <f t="shared" si="2"/>
        <v>4.1067849878123797</v>
      </c>
      <c r="P17" s="96">
        <f t="shared" si="3"/>
        <v>2.1947652915867386</v>
      </c>
      <c r="Q17" s="96">
        <f t="shared" si="4"/>
        <v>2.2505452157443817</v>
      </c>
      <c r="R17" s="96">
        <f t="shared" si="5"/>
        <v>1.520214506911951</v>
      </c>
      <c r="S17" s="96">
        <f t="shared" si="6"/>
        <v>0.76064991121726</v>
      </c>
      <c r="T17" s="96">
        <f t="shared" si="7"/>
        <v>1.0441110050269118</v>
      </c>
      <c r="U17" s="96">
        <f t="shared" si="8"/>
        <v>1.0809006551513429</v>
      </c>
      <c r="V17" s="96">
        <f t="shared" si="9"/>
        <v>2.2728805800631506</v>
      </c>
      <c r="W17" s="96"/>
      <c r="X17" s="96">
        <f t="shared" si="10"/>
        <v>1.2672300108540986</v>
      </c>
      <c r="Y17" s="96">
        <f t="shared" si="11"/>
        <v>22.648234846023584</v>
      </c>
      <c r="Z17" s="96">
        <f t="shared" si="11"/>
        <v>38.677855828748818</v>
      </c>
      <c r="AA17" s="96">
        <f t="shared" si="11"/>
        <v>5.5168419637822703</v>
      </c>
      <c r="AB17" s="96">
        <f t="shared" si="11"/>
        <v>5.7315873367162107</v>
      </c>
      <c r="AC17" s="96">
        <f t="shared" si="11"/>
        <v>13.087712105495353</v>
      </c>
      <c r="AD17" s="96">
        <f t="shared" si="11"/>
        <v>5.9739754763500779</v>
      </c>
      <c r="AE17" s="96">
        <f t="shared" si="11"/>
        <v>5.2820414600929917</v>
      </c>
      <c r="AF17" s="96">
        <f t="shared" si="11"/>
        <v>1.8145209719365711</v>
      </c>
      <c r="AG17" s="96">
        <f t="shared" si="11"/>
        <v>100</v>
      </c>
    </row>
    <row r="18" spans="1:33" x14ac:dyDescent="0.3">
      <c r="A18" s="10" t="str">
        <f>name!D14</f>
        <v>35 Business and public service associate professionals</v>
      </c>
      <c r="B18" s="68">
        <f>'Basic T2'!D18</f>
        <v>30.699691305221421</v>
      </c>
      <c r="C18" s="68">
        <f>'Basic T2'!O18</f>
        <v>321.9415733949433</v>
      </c>
      <c r="D18" s="68">
        <f>'Basic T2'!Z18</f>
        <v>558.11337973991806</v>
      </c>
      <c r="E18" s="68">
        <f>'Basic T2'!AK18</f>
        <v>149.65396804331832</v>
      </c>
      <c r="F18" s="68">
        <f>'Basic T2'!AV18</f>
        <v>131.66971295095703</v>
      </c>
      <c r="G18" s="68">
        <f>'Basic T2'!BG18</f>
        <v>343.33794656030494</v>
      </c>
      <c r="H18" s="68">
        <f>'Basic T2'!BR18</f>
        <v>262.84163138319423</v>
      </c>
      <c r="I18" s="68">
        <f>'Basic T2'!CC18</f>
        <v>158.9461950344778</v>
      </c>
      <c r="J18" s="68">
        <f>'Basic T2'!CN18</f>
        <v>34.274402098872038</v>
      </c>
      <c r="K18" s="309">
        <f t="shared" si="12"/>
        <v>1991.4785005112074</v>
      </c>
      <c r="L18" s="96"/>
      <c r="M18" s="96">
        <f t="shared" si="0"/>
        <v>5.8738766485309419</v>
      </c>
      <c r="N18" s="96">
        <f t="shared" si="1"/>
        <v>8.5502475349447824</v>
      </c>
      <c r="O18" s="96">
        <f t="shared" si="2"/>
        <v>8.7317285891034597</v>
      </c>
      <c r="P18" s="96">
        <f t="shared" si="3"/>
        <v>8.7725124890210182</v>
      </c>
      <c r="Q18" s="96">
        <f t="shared" si="4"/>
        <v>7.6179292583935343</v>
      </c>
      <c r="R18" s="96">
        <f t="shared" si="5"/>
        <v>5.8762621631394119</v>
      </c>
      <c r="S18" s="96">
        <f t="shared" si="6"/>
        <v>4.9312129306687744</v>
      </c>
      <c r="T18" s="96">
        <f t="shared" si="7"/>
        <v>4.6294907615768119</v>
      </c>
      <c r="U18" s="96">
        <f t="shared" si="8"/>
        <v>3.0083744653503102</v>
      </c>
      <c r="V18" s="96">
        <f t="shared" si="9"/>
        <v>6.6694567182802071</v>
      </c>
      <c r="W18" s="96"/>
      <c r="X18" s="96">
        <f t="shared" si="10"/>
        <v>1.5415527356856169</v>
      </c>
      <c r="Y18" s="96">
        <f t="shared" si="11"/>
        <v>16.165957770184399</v>
      </c>
      <c r="Z18" s="96">
        <f t="shared" si="11"/>
        <v>28.025076825918621</v>
      </c>
      <c r="AA18" s="96">
        <f t="shared" si="11"/>
        <v>7.5147167295505595</v>
      </c>
      <c r="AB18" s="96">
        <f t="shared" si="11"/>
        <v>6.6116562602688278</v>
      </c>
      <c r="AC18" s="96">
        <f t="shared" si="11"/>
        <v>17.240354162606877</v>
      </c>
      <c r="AD18" s="96">
        <f t="shared" si="11"/>
        <v>13.198316291927</v>
      </c>
      <c r="AE18" s="96">
        <f t="shared" si="11"/>
        <v>7.9813161424377279</v>
      </c>
      <c r="AF18" s="96">
        <f t="shared" si="11"/>
        <v>1.721053081420356</v>
      </c>
      <c r="AG18" s="96">
        <f t="shared" si="11"/>
        <v>100</v>
      </c>
    </row>
    <row r="19" spans="1:33" x14ac:dyDescent="0.3">
      <c r="A19" s="10" t="str">
        <f>name!D15</f>
        <v>41 Administrative occupations</v>
      </c>
      <c r="B19" s="68">
        <f>'Basic T2'!D19</f>
        <v>16.497352804523402</v>
      </c>
      <c r="C19" s="68">
        <f>'Basic T2'!O19</f>
        <v>189.36632911294154</v>
      </c>
      <c r="D19" s="68">
        <f>'Basic T2'!Z19</f>
        <v>539.22968687270304</v>
      </c>
      <c r="E19" s="68">
        <f>'Basic T2'!AK19</f>
        <v>191.48761428366313</v>
      </c>
      <c r="F19" s="68">
        <f>'Basic T2'!AV19</f>
        <v>183.1650221778745</v>
      </c>
      <c r="G19" s="68">
        <f>'Basic T2'!BG19</f>
        <v>541.44256549201168</v>
      </c>
      <c r="H19" s="68">
        <f>'Basic T2'!BR19</f>
        <v>567.38048879905398</v>
      </c>
      <c r="I19" s="68">
        <f>'Basic T2'!CC19</f>
        <v>275.99601850467667</v>
      </c>
      <c r="J19" s="68">
        <f>'Basic T2'!CN19</f>
        <v>69.829013776449131</v>
      </c>
      <c r="K19" s="309">
        <f t="shared" si="12"/>
        <v>2574.3940918238973</v>
      </c>
      <c r="L19" s="96"/>
      <c r="M19" s="96">
        <f t="shared" si="0"/>
        <v>3.1564947815805913</v>
      </c>
      <c r="N19" s="96">
        <f t="shared" si="1"/>
        <v>5.0292634518288724</v>
      </c>
      <c r="O19" s="96">
        <f t="shared" si="2"/>
        <v>8.436291699643208</v>
      </c>
      <c r="P19" s="96">
        <f t="shared" si="3"/>
        <v>11.224744052961144</v>
      </c>
      <c r="Q19" s="96">
        <f t="shared" si="4"/>
        <v>10.59725999465687</v>
      </c>
      <c r="R19" s="96">
        <f t="shared" si="5"/>
        <v>9.2668418768998624</v>
      </c>
      <c r="S19" s="96">
        <f t="shared" si="6"/>
        <v>10.644714036552573</v>
      </c>
      <c r="T19" s="96">
        <f t="shared" si="7"/>
        <v>8.0387015091630634</v>
      </c>
      <c r="U19" s="96">
        <f t="shared" si="8"/>
        <v>6.129117041332079</v>
      </c>
      <c r="V19" s="96">
        <f t="shared" si="9"/>
        <v>8.6216396344767556</v>
      </c>
      <c r="W19" s="96"/>
      <c r="X19" s="96">
        <f t="shared" si="10"/>
        <v>0.64082468402634574</v>
      </c>
      <c r="Y19" s="96">
        <f t="shared" si="11"/>
        <v>7.3557630401016025</v>
      </c>
      <c r="Z19" s="96">
        <f t="shared" si="11"/>
        <v>20.945887367643529</v>
      </c>
      <c r="AA19" s="96">
        <f t="shared" si="11"/>
        <v>7.4381624356509732</v>
      </c>
      <c r="AB19" s="96">
        <f t="shared" si="11"/>
        <v>7.1148789052769477</v>
      </c>
      <c r="AC19" s="96">
        <f t="shared" si="11"/>
        <v>21.031844627502714</v>
      </c>
      <c r="AD19" s="96">
        <f t="shared" si="11"/>
        <v>22.039379697188409</v>
      </c>
      <c r="AE19" s="96">
        <f t="shared" si="11"/>
        <v>10.720814632896396</v>
      </c>
      <c r="AF19" s="96">
        <f t="shared" si="11"/>
        <v>2.7124446097130734</v>
      </c>
      <c r="AG19" s="96">
        <f t="shared" si="11"/>
        <v>100</v>
      </c>
    </row>
    <row r="20" spans="1:33" x14ac:dyDescent="0.3">
      <c r="A20" s="10" t="str">
        <f>name!D16</f>
        <v>42 Secretarial and related occupations</v>
      </c>
      <c r="B20" s="68">
        <f>'Basic T2'!D20</f>
        <v>1.4997361243583505</v>
      </c>
      <c r="C20" s="68">
        <f>'Basic T2'!O20</f>
        <v>30.577696260873378</v>
      </c>
      <c r="D20" s="68">
        <f>'Basic T2'!Z20</f>
        <v>92.793487779408665</v>
      </c>
      <c r="E20" s="68">
        <f>'Basic T2'!AK20</f>
        <v>44.004335063178424</v>
      </c>
      <c r="F20" s="68">
        <f>'Basic T2'!AV20</f>
        <v>33.30017828700209</v>
      </c>
      <c r="G20" s="68">
        <f>'Basic T2'!BG20</f>
        <v>109.2128514379568</v>
      </c>
      <c r="H20" s="68">
        <f>'Basic T2'!BR20</f>
        <v>120.74145102010606</v>
      </c>
      <c r="I20" s="68">
        <f>'Basic T2'!CC20</f>
        <v>111.06920788504358</v>
      </c>
      <c r="J20" s="68">
        <f>'Basic T2'!CN20</f>
        <v>29.437301993053783</v>
      </c>
      <c r="K20" s="309">
        <f t="shared" si="12"/>
        <v>572.63624585098114</v>
      </c>
      <c r="L20" s="96"/>
      <c r="M20" s="96">
        <f t="shared" si="0"/>
        <v>0.28694962800256324</v>
      </c>
      <c r="N20" s="96">
        <f t="shared" si="1"/>
        <v>0.81209416143994473</v>
      </c>
      <c r="O20" s="96">
        <f t="shared" si="2"/>
        <v>1.4517615587421719</v>
      </c>
      <c r="P20" s="96">
        <f t="shared" si="3"/>
        <v>2.5794743965696902</v>
      </c>
      <c r="Q20" s="96">
        <f t="shared" si="4"/>
        <v>1.926626836171214</v>
      </c>
      <c r="R20" s="96">
        <f t="shared" si="5"/>
        <v>1.8691885154637573</v>
      </c>
      <c r="S20" s="96">
        <f t="shared" si="6"/>
        <v>2.265249235460828</v>
      </c>
      <c r="T20" s="96">
        <f t="shared" si="7"/>
        <v>3.2350184393399748</v>
      </c>
      <c r="U20" s="96">
        <f t="shared" si="8"/>
        <v>2.5838066376546136</v>
      </c>
      <c r="V20" s="96">
        <f t="shared" si="9"/>
        <v>1.9177574129176946</v>
      </c>
      <c r="W20" s="96"/>
      <c r="X20" s="96">
        <f t="shared" si="10"/>
        <v>0.26190031372003497</v>
      </c>
      <c r="Y20" s="96">
        <f t="shared" si="11"/>
        <v>5.3398115265010144</v>
      </c>
      <c r="Z20" s="96">
        <f t="shared" si="11"/>
        <v>16.204613042178366</v>
      </c>
      <c r="AA20" s="96">
        <f t="shared" si="11"/>
        <v>7.6845179434607083</v>
      </c>
      <c r="AB20" s="96">
        <f t="shared" si="11"/>
        <v>5.8152410938492878</v>
      </c>
      <c r="AC20" s="96">
        <f t="shared" si="11"/>
        <v>19.071941783157328</v>
      </c>
      <c r="AD20" s="96">
        <f t="shared" si="11"/>
        <v>21.08519184647054</v>
      </c>
      <c r="AE20" s="96">
        <f t="shared" si="11"/>
        <v>19.396119035389781</v>
      </c>
      <c r="AF20" s="96">
        <f t="shared" si="11"/>
        <v>5.1406634152729378</v>
      </c>
      <c r="AG20" s="96">
        <f t="shared" si="11"/>
        <v>100</v>
      </c>
    </row>
    <row r="21" spans="1:33" x14ac:dyDescent="0.3">
      <c r="A21" s="10" t="str">
        <f>name!D17</f>
        <v>51 Skilled agricultural and related trades</v>
      </c>
      <c r="B21" s="68">
        <f>'Basic T2'!D21</f>
        <v>0.80277462711026393</v>
      </c>
      <c r="C21" s="68">
        <f>'Basic T2'!O21</f>
        <v>4.7646904413004254</v>
      </c>
      <c r="D21" s="68">
        <f>'Basic T2'!Z21</f>
        <v>40.820132999099485</v>
      </c>
      <c r="E21" s="68">
        <f>'Basic T2'!AK21</f>
        <v>17.433835712033105</v>
      </c>
      <c r="F21" s="68">
        <f>'Basic T2'!AV21</f>
        <v>25.028400986631627</v>
      </c>
      <c r="G21" s="68">
        <f>'Basic T2'!BG21</f>
        <v>40.277072553907644</v>
      </c>
      <c r="H21" s="68">
        <f>'Basic T2'!BR21</f>
        <v>61.676108131868773</v>
      </c>
      <c r="I21" s="68">
        <f>'Basic T2'!CC21</f>
        <v>49.459239876493079</v>
      </c>
      <c r="J21" s="68">
        <f>'Basic T2'!CN21</f>
        <v>30.97588933350902</v>
      </c>
      <c r="K21" s="309">
        <f t="shared" si="12"/>
        <v>271.23814466195341</v>
      </c>
      <c r="L21" s="96"/>
      <c r="M21" s="96">
        <f t="shared" si="0"/>
        <v>0.15359760752428531</v>
      </c>
      <c r="N21" s="96">
        <f t="shared" si="1"/>
        <v>0.12654247250797532</v>
      </c>
      <c r="O21" s="96">
        <f t="shared" si="2"/>
        <v>0.63863425471960522</v>
      </c>
      <c r="P21" s="96">
        <f t="shared" si="3"/>
        <v>1.0219477873856442</v>
      </c>
      <c r="Q21" s="96">
        <f t="shared" si="4"/>
        <v>1.4480519771307119</v>
      </c>
      <c r="R21" s="96">
        <f t="shared" si="5"/>
        <v>0.68934599237191341</v>
      </c>
      <c r="S21" s="96">
        <f t="shared" si="6"/>
        <v>1.1571151051402395</v>
      </c>
      <c r="T21" s="96">
        <f t="shared" si="7"/>
        <v>1.4405572529318422</v>
      </c>
      <c r="U21" s="96">
        <f t="shared" si="8"/>
        <v>2.7188533951263976</v>
      </c>
      <c r="V21" s="96">
        <f t="shared" si="9"/>
        <v>0.90837589544911257</v>
      </c>
      <c r="W21" s="96"/>
      <c r="X21" s="96">
        <f t="shared" si="10"/>
        <v>0.29596671519441681</v>
      </c>
      <c r="Y21" s="96">
        <f t="shared" si="11"/>
        <v>1.7566446810933258</v>
      </c>
      <c r="Z21" s="96">
        <f t="shared" si="11"/>
        <v>15.049554718778213</v>
      </c>
      <c r="AA21" s="96">
        <f t="shared" si="11"/>
        <v>6.4275014614043515</v>
      </c>
      <c r="AB21" s="96">
        <f t="shared" si="11"/>
        <v>9.2274635700022039</v>
      </c>
      <c r="AC21" s="96">
        <f t="shared" si="11"/>
        <v>14.849339352363335</v>
      </c>
      <c r="AD21" s="96">
        <f t="shared" si="11"/>
        <v>22.738729542902703</v>
      </c>
      <c r="AE21" s="96">
        <f t="shared" si="11"/>
        <v>18.234618120594572</v>
      </c>
      <c r="AF21" s="96">
        <f t="shared" si="11"/>
        <v>11.420181837666879</v>
      </c>
      <c r="AG21" s="96">
        <f t="shared" si="11"/>
        <v>100</v>
      </c>
    </row>
    <row r="22" spans="1:33" x14ac:dyDescent="0.3">
      <c r="A22" s="10" t="str">
        <f>name!D18</f>
        <v>52 Skilled metal, electrical and electronic trades</v>
      </c>
      <c r="B22" s="68">
        <f>'Basic T2'!D22</f>
        <v>1.2691295115349592</v>
      </c>
      <c r="C22" s="68">
        <f>'Basic T2'!O22</f>
        <v>21.130942051940551</v>
      </c>
      <c r="D22" s="68">
        <f>'Basic T2'!Z22</f>
        <v>53.284065891211966</v>
      </c>
      <c r="E22" s="68">
        <f>'Basic T2'!AK22</f>
        <v>19.933672973264702</v>
      </c>
      <c r="F22" s="68">
        <f>'Basic T2'!AV22</f>
        <v>77.745815595579728</v>
      </c>
      <c r="G22" s="68">
        <f>'Basic T2'!BG22</f>
        <v>387.56384404437597</v>
      </c>
      <c r="H22" s="68">
        <f>'Basic T2'!BR22</f>
        <v>219.58902283525106</v>
      </c>
      <c r="I22" s="68">
        <f>'Basic T2'!CC22</f>
        <v>105.28125656792901</v>
      </c>
      <c r="J22" s="68">
        <f>'Basic T2'!CN22</f>
        <v>40.55791816394801</v>
      </c>
      <c r="K22" s="309">
        <f t="shared" si="12"/>
        <v>926.35566763503584</v>
      </c>
      <c r="L22" s="96"/>
      <c r="M22" s="96">
        <f t="shared" si="0"/>
        <v>0.24282687821355312</v>
      </c>
      <c r="N22" s="96">
        <f t="shared" si="1"/>
        <v>0.56120364725006211</v>
      </c>
      <c r="O22" s="96">
        <f t="shared" si="2"/>
        <v>0.83363348447725993</v>
      </c>
      <c r="P22" s="96">
        <f t="shared" si="3"/>
        <v>1.1684848547377544</v>
      </c>
      <c r="Q22" s="96">
        <f t="shared" si="4"/>
        <v>4.4980892725408665</v>
      </c>
      <c r="R22" s="96">
        <f t="shared" si="5"/>
        <v>6.6331926761227251</v>
      </c>
      <c r="S22" s="96">
        <f t="shared" si="6"/>
        <v>4.1197439809656666</v>
      </c>
      <c r="T22" s="96">
        <f t="shared" si="7"/>
        <v>3.0664376995165021</v>
      </c>
      <c r="U22" s="96">
        <f t="shared" si="8"/>
        <v>3.5598988720565936</v>
      </c>
      <c r="V22" s="96">
        <f t="shared" si="9"/>
        <v>3.102362907477779</v>
      </c>
      <c r="W22" s="96"/>
      <c r="X22" s="96">
        <f t="shared" si="10"/>
        <v>0.13700240154788679</v>
      </c>
      <c r="Y22" s="96">
        <f t="shared" si="11"/>
        <v>2.281083042962035</v>
      </c>
      <c r="Z22" s="96">
        <f t="shared" si="11"/>
        <v>5.7520094875918373</v>
      </c>
      <c r="AA22" s="96">
        <f t="shared" si="11"/>
        <v>2.1518379678244859</v>
      </c>
      <c r="AB22" s="96">
        <f t="shared" si="11"/>
        <v>8.3926528774917486</v>
      </c>
      <c r="AC22" s="96">
        <f t="shared" si="11"/>
        <v>41.837477502978672</v>
      </c>
      <c r="AD22" s="96">
        <f t="shared" si="11"/>
        <v>23.704612656589735</v>
      </c>
      <c r="AE22" s="96">
        <f t="shared" si="11"/>
        <v>11.36510092680812</v>
      </c>
      <c r="AF22" s="96">
        <f t="shared" si="11"/>
        <v>4.3782231362054942</v>
      </c>
      <c r="AG22" s="96">
        <f t="shared" si="11"/>
        <v>100</v>
      </c>
    </row>
    <row r="23" spans="1:33" x14ac:dyDescent="0.3">
      <c r="A23" s="10" t="str">
        <f>name!D19</f>
        <v>53 Skilled construction and building trades</v>
      </c>
      <c r="B23" s="68">
        <f>'Basic T2'!D23</f>
        <v>0.30944127302738861</v>
      </c>
      <c r="C23" s="68">
        <f>'Basic T2'!O23</f>
        <v>9.7498835479210726</v>
      </c>
      <c r="D23" s="68">
        <f>'Basic T2'!Z23</f>
        <v>29.339671270682373</v>
      </c>
      <c r="E23" s="68">
        <f>'Basic T2'!AK23</f>
        <v>19.948288549255484</v>
      </c>
      <c r="F23" s="68">
        <f>'Basic T2'!AV23</f>
        <v>28.832423041409918</v>
      </c>
      <c r="G23" s="68">
        <f>'Basic T2'!BG23</f>
        <v>262.60313047389013</v>
      </c>
      <c r="H23" s="68">
        <f>'Basic T2'!BR23</f>
        <v>243.59495492479925</v>
      </c>
      <c r="I23" s="68">
        <f>'Basic T2'!CC23</f>
        <v>116.97813320730828</v>
      </c>
      <c r="J23" s="68">
        <f>'Basic T2'!CN23</f>
        <v>56.217210631349481</v>
      </c>
      <c r="K23" s="309">
        <f t="shared" si="12"/>
        <v>767.57313691964339</v>
      </c>
      <c r="L23" s="96"/>
      <c r="M23" s="96">
        <f t="shared" si="0"/>
        <v>5.9206454216629983E-2</v>
      </c>
      <c r="N23" s="96">
        <f t="shared" si="1"/>
        <v>0.25894113920274531</v>
      </c>
      <c r="O23" s="96">
        <f t="shared" si="2"/>
        <v>0.45902151019654458</v>
      </c>
      <c r="P23" s="96">
        <f t="shared" si="3"/>
        <v>1.16934159996536</v>
      </c>
      <c r="Q23" s="96">
        <f t="shared" si="4"/>
        <v>1.6681388160946851</v>
      </c>
      <c r="R23" s="96">
        <f t="shared" si="5"/>
        <v>4.4944779771222976</v>
      </c>
      <c r="S23" s="96">
        <f t="shared" si="6"/>
        <v>4.5701230252204708</v>
      </c>
      <c r="T23" s="96">
        <f t="shared" si="7"/>
        <v>3.4071226862163342</v>
      </c>
      <c r="U23" s="96">
        <f t="shared" si="8"/>
        <v>4.9343653169704034</v>
      </c>
      <c r="V23" s="96">
        <f t="shared" si="9"/>
        <v>2.5706005932205742</v>
      </c>
      <c r="W23" s="96"/>
      <c r="X23" s="96">
        <f t="shared" si="10"/>
        <v>4.0314239535428634E-2</v>
      </c>
      <c r="Y23" s="96">
        <f t="shared" si="11"/>
        <v>1.2702220907636819</v>
      </c>
      <c r="Z23" s="96">
        <f t="shared" si="11"/>
        <v>3.8223942266173809</v>
      </c>
      <c r="AA23" s="96">
        <f t="shared" si="11"/>
        <v>2.5988778905564871</v>
      </c>
      <c r="AB23" s="96">
        <f t="shared" si="11"/>
        <v>3.7563095494870558</v>
      </c>
      <c r="AC23" s="96">
        <f t="shared" si="11"/>
        <v>34.212131436457746</v>
      </c>
      <c r="AD23" s="96">
        <f t="shared" si="11"/>
        <v>31.735732167800059</v>
      </c>
      <c r="AE23" s="96">
        <f t="shared" si="11"/>
        <v>15.239998324687933</v>
      </c>
      <c r="AF23" s="96">
        <f t="shared" si="11"/>
        <v>7.3240200740942312</v>
      </c>
      <c r="AG23" s="96">
        <f t="shared" si="11"/>
        <v>100</v>
      </c>
    </row>
    <row r="24" spans="1:33" x14ac:dyDescent="0.3">
      <c r="A24" s="10" t="str">
        <f>name!D20</f>
        <v>54 Textiles, printing and other skilled trades</v>
      </c>
      <c r="B24" s="68">
        <f>'Basic T2'!D24</f>
        <v>2.1585895424819643</v>
      </c>
      <c r="C24" s="68">
        <f>'Basic T2'!O24</f>
        <v>22.157163082934943</v>
      </c>
      <c r="D24" s="68">
        <f>'Basic T2'!Z24</f>
        <v>51.834151573103384</v>
      </c>
      <c r="E24" s="68">
        <f>'Basic T2'!AK24</f>
        <v>20.245969319873907</v>
      </c>
      <c r="F24" s="68">
        <f>'Basic T2'!AV24</f>
        <v>23.242290181881796</v>
      </c>
      <c r="G24" s="68">
        <f>'Basic T2'!BG24</f>
        <v>134.71597471570939</v>
      </c>
      <c r="H24" s="68">
        <f>'Basic T2'!BR24</f>
        <v>129.76249687094062</v>
      </c>
      <c r="I24" s="68">
        <f>'Basic T2'!CC24</f>
        <v>115.42027908279015</v>
      </c>
      <c r="J24" s="68">
        <f>'Basic T2'!CN24</f>
        <v>45.574384009016214</v>
      </c>
      <c r="K24" s="309">
        <f t="shared" si="12"/>
        <v>545.11129837873239</v>
      </c>
      <c r="L24" s="96"/>
      <c r="M24" s="96">
        <f t="shared" si="0"/>
        <v>0.4130102997221799</v>
      </c>
      <c r="N24" s="96">
        <f t="shared" si="1"/>
        <v>0.58845841819511246</v>
      </c>
      <c r="O24" s="96">
        <f t="shared" si="2"/>
        <v>0.81094945868114154</v>
      </c>
      <c r="P24" s="96">
        <f t="shared" si="3"/>
        <v>1.1867912427121239</v>
      </c>
      <c r="Q24" s="96">
        <f t="shared" si="4"/>
        <v>1.3447141217250078</v>
      </c>
      <c r="R24" s="96">
        <f t="shared" si="5"/>
        <v>2.3056769370330148</v>
      </c>
      <c r="S24" s="96">
        <f t="shared" si="6"/>
        <v>2.4344944867313068</v>
      </c>
      <c r="T24" s="96">
        <f t="shared" si="7"/>
        <v>3.3617483928853322</v>
      </c>
      <c r="U24" s="96">
        <f t="shared" si="8"/>
        <v>4.0002102073519747</v>
      </c>
      <c r="V24" s="96">
        <f t="shared" si="9"/>
        <v>1.8255764298983068</v>
      </c>
      <c r="W24" s="96"/>
      <c r="X24" s="96">
        <f t="shared" si="10"/>
        <v>0.39599060758821764</v>
      </c>
      <c r="Y24" s="96">
        <f t="shared" ref="Y24:AG32" si="13">IF($K24&gt;0,C24/$K24*100,0)</f>
        <v>4.0647044280378486</v>
      </c>
      <c r="Z24" s="96">
        <f t="shared" si="13"/>
        <v>9.5089116162641076</v>
      </c>
      <c r="AA24" s="96">
        <f t="shared" si="13"/>
        <v>3.7140982731580467</v>
      </c>
      <c r="AB24" s="96">
        <f t="shared" si="13"/>
        <v>4.2637696652057873</v>
      </c>
      <c r="AC24" s="96">
        <f t="shared" si="13"/>
        <v>24.713480552757034</v>
      </c>
      <c r="AD24" s="96">
        <f t="shared" si="13"/>
        <v>23.804771109474281</v>
      </c>
      <c r="AE24" s="96">
        <f t="shared" si="13"/>
        <v>21.17370882351414</v>
      </c>
      <c r="AF24" s="96">
        <f t="shared" si="13"/>
        <v>8.3605649240005384</v>
      </c>
      <c r="AG24" s="96">
        <f t="shared" si="13"/>
        <v>100</v>
      </c>
    </row>
    <row r="25" spans="1:33" x14ac:dyDescent="0.3">
      <c r="A25" s="10" t="str">
        <f>name!D21</f>
        <v>61 Caring personal service occupations</v>
      </c>
      <c r="B25" s="68">
        <f>'Basic T2'!D25</f>
        <v>1.870152888765823</v>
      </c>
      <c r="C25" s="68">
        <f>'Basic T2'!O25</f>
        <v>95.840659568327482</v>
      </c>
      <c r="D25" s="68">
        <f>'Basic T2'!Z25</f>
        <v>264.23370425746685</v>
      </c>
      <c r="E25" s="68">
        <f>'Basic T2'!AK25</f>
        <v>212.7644657403437</v>
      </c>
      <c r="F25" s="68">
        <f>'Basic T2'!AV25</f>
        <v>123.76261113808276</v>
      </c>
      <c r="G25" s="68">
        <f>'Basic T2'!BG25</f>
        <v>734.54888757730043</v>
      </c>
      <c r="H25" s="68">
        <f>'Basic T2'!BR25</f>
        <v>490.50580362650487</v>
      </c>
      <c r="I25" s="68">
        <f>'Basic T2'!CC25</f>
        <v>82.538184406237548</v>
      </c>
      <c r="J25" s="68">
        <f>'Basic T2'!CN25</f>
        <v>19.919974063410258</v>
      </c>
      <c r="K25" s="309">
        <f t="shared" si="12"/>
        <v>2025.9844432664399</v>
      </c>
      <c r="L25" s="96"/>
      <c r="M25" s="96">
        <f t="shared" si="0"/>
        <v>0.3578227309613341</v>
      </c>
      <c r="N25" s="96">
        <f t="shared" si="1"/>
        <v>2.5453729214906216</v>
      </c>
      <c r="O25" s="96">
        <f t="shared" si="2"/>
        <v>4.1339574957776497</v>
      </c>
      <c r="P25" s="96">
        <f t="shared" si="3"/>
        <v>12.471964207369265</v>
      </c>
      <c r="Q25" s="96">
        <f t="shared" si="4"/>
        <v>7.1604531927182968</v>
      </c>
      <c r="R25" s="96">
        <f t="shared" si="5"/>
        <v>12.571875256696947</v>
      </c>
      <c r="S25" s="96">
        <f t="shared" si="6"/>
        <v>9.2024560518906977</v>
      </c>
      <c r="T25" s="96">
        <f t="shared" si="7"/>
        <v>2.4040195621110318</v>
      </c>
      <c r="U25" s="96">
        <f t="shared" si="8"/>
        <v>1.7484401668023861</v>
      </c>
      <c r="V25" s="96">
        <f t="shared" si="9"/>
        <v>6.7850170377465755</v>
      </c>
      <c r="W25" s="96"/>
      <c r="X25" s="96">
        <f t="shared" si="10"/>
        <v>9.2308353846519475E-2</v>
      </c>
      <c r="Y25" s="96">
        <f t="shared" si="13"/>
        <v>4.7305723341984889</v>
      </c>
      <c r="Z25" s="96">
        <f t="shared" si="13"/>
        <v>13.042237571748084</v>
      </c>
      <c r="AA25" s="96">
        <f t="shared" si="13"/>
        <v>10.501781810195409</v>
      </c>
      <c r="AB25" s="96">
        <f t="shared" si="13"/>
        <v>6.1087641393012699</v>
      </c>
      <c r="AC25" s="96">
        <f t="shared" si="13"/>
        <v>36.256393281727625</v>
      </c>
      <c r="AD25" s="96">
        <f t="shared" si="13"/>
        <v>24.21073889568844</v>
      </c>
      <c r="AE25" s="96">
        <f t="shared" si="13"/>
        <v>4.0739791798777816</v>
      </c>
      <c r="AF25" s="96">
        <f t="shared" si="13"/>
        <v>0.98322443341637022</v>
      </c>
      <c r="AG25" s="96">
        <f t="shared" si="13"/>
        <v>100</v>
      </c>
    </row>
    <row r="26" spans="1:33" x14ac:dyDescent="0.3">
      <c r="A26" s="10" t="str">
        <f>name!D22</f>
        <v>62 Leisure, travel and related personal service occupations</v>
      </c>
      <c r="B26" s="68">
        <f>'Basic T2'!D26</f>
        <v>1.0612079734628244</v>
      </c>
      <c r="C26" s="68">
        <f>'Basic T2'!O26</f>
        <v>16.660588689211909</v>
      </c>
      <c r="D26" s="68">
        <f>'Basic T2'!Z26</f>
        <v>71.146449123055973</v>
      </c>
      <c r="E26" s="68">
        <f>'Basic T2'!AK26</f>
        <v>44.414140211633907</v>
      </c>
      <c r="F26" s="68">
        <f>'Basic T2'!AV26</f>
        <v>56.645215019236922</v>
      </c>
      <c r="G26" s="68">
        <f>'Basic T2'!BG26</f>
        <v>155.55545416998874</v>
      </c>
      <c r="H26" s="68">
        <f>'Basic T2'!BR26</f>
        <v>148.92097969124384</v>
      </c>
      <c r="I26" s="68">
        <f>'Basic T2'!CC26</f>
        <v>98.802289183893222</v>
      </c>
      <c r="J26" s="68">
        <f>'Basic T2'!CN26</f>
        <v>32.260649716163037</v>
      </c>
      <c r="K26" s="309">
        <f t="shared" si="12"/>
        <v>625.4669737778903</v>
      </c>
      <c r="L26" s="96"/>
      <c r="M26" s="96">
        <f t="shared" si="0"/>
        <v>0.20304454115139414</v>
      </c>
      <c r="N26" s="96">
        <f t="shared" si="1"/>
        <v>0.44247829153741891</v>
      </c>
      <c r="O26" s="96">
        <f t="shared" si="2"/>
        <v>1.1130919027787467</v>
      </c>
      <c r="P26" s="96">
        <f t="shared" si="3"/>
        <v>2.603496618164578</v>
      </c>
      <c r="Q26" s="96">
        <f t="shared" si="4"/>
        <v>3.2772854984788005</v>
      </c>
      <c r="R26" s="96">
        <f t="shared" si="5"/>
        <v>2.6623466434943537</v>
      </c>
      <c r="S26" s="96">
        <f t="shared" si="6"/>
        <v>2.7939297775499874</v>
      </c>
      <c r="T26" s="96">
        <f t="shared" si="7"/>
        <v>2.8777303218882113</v>
      </c>
      <c r="U26" s="96">
        <f t="shared" si="8"/>
        <v>2.8316209444514153</v>
      </c>
      <c r="V26" s="96">
        <f t="shared" si="9"/>
        <v>2.0946873939409949</v>
      </c>
      <c r="W26" s="96"/>
      <c r="X26" s="96">
        <f t="shared" si="10"/>
        <v>0.16966650805765329</v>
      </c>
      <c r="Y26" s="96">
        <f t="shared" si="13"/>
        <v>2.6637039824149458</v>
      </c>
      <c r="Z26" s="96">
        <f t="shared" si="13"/>
        <v>11.374932987000653</v>
      </c>
      <c r="AA26" s="96">
        <f t="shared" si="13"/>
        <v>7.1009568967914554</v>
      </c>
      <c r="AB26" s="96">
        <f t="shared" si="13"/>
        <v>9.0564677903124924</v>
      </c>
      <c r="AC26" s="96">
        <f t="shared" si="13"/>
        <v>24.870290629482231</v>
      </c>
      <c r="AD26" s="96">
        <f t="shared" si="13"/>
        <v>23.809567240895952</v>
      </c>
      <c r="AE26" s="96">
        <f t="shared" si="13"/>
        <v>15.796563739747342</v>
      </c>
      <c r="AF26" s="96">
        <f t="shared" si="13"/>
        <v>5.1578502252972873</v>
      </c>
      <c r="AG26" s="96">
        <f t="shared" si="13"/>
        <v>100</v>
      </c>
    </row>
    <row r="27" spans="1:33" x14ac:dyDescent="0.3">
      <c r="A27" s="10" t="str">
        <f>name!D23</f>
        <v>63 Community and civil enforcement occupations</v>
      </c>
      <c r="B27" s="68">
        <f>'Basic T2'!D27</f>
        <v>7.9224082411265662E-2</v>
      </c>
      <c r="C27" s="68">
        <f>'Basic T2'!O27</f>
        <v>1.5491041558718208</v>
      </c>
      <c r="D27" s="68">
        <f>'Basic T2'!Z27</f>
        <v>5.6498337867502935</v>
      </c>
      <c r="E27" s="68">
        <f>'Basic T2'!AK27</f>
        <v>1.7505955230308261</v>
      </c>
      <c r="F27" s="68">
        <f>'Basic T2'!AV27</f>
        <v>1.5135878152334137</v>
      </c>
      <c r="G27" s="68">
        <f>'Basic T2'!BG27</f>
        <v>5.2411389851054881</v>
      </c>
      <c r="H27" s="68">
        <f>'Basic T2'!BR27</f>
        <v>7.6197575370777244</v>
      </c>
      <c r="I27" s="68">
        <f>'Basic T2'!CC27</f>
        <v>6.5506038369259194</v>
      </c>
      <c r="J27" s="68">
        <f>'Basic T2'!CN27</f>
        <v>1.788617686652638</v>
      </c>
      <c r="K27" s="309">
        <f t="shared" si="12"/>
        <v>31.74246340905939</v>
      </c>
      <c r="L27" s="96"/>
      <c r="M27" s="96">
        <f t="shared" si="0"/>
        <v>1.5158213906785338E-2</v>
      </c>
      <c r="N27" s="96">
        <f t="shared" si="1"/>
        <v>4.1141701118131507E-2</v>
      </c>
      <c r="O27" s="96">
        <f t="shared" si="2"/>
        <v>8.8392102734464795E-2</v>
      </c>
      <c r="P27" s="96">
        <f t="shared" si="3"/>
        <v>0.10261753356627995</v>
      </c>
      <c r="Q27" s="96">
        <f t="shared" si="4"/>
        <v>8.7570669399949952E-2</v>
      </c>
      <c r="R27" s="96">
        <f t="shared" si="5"/>
        <v>8.9702600654777212E-2</v>
      </c>
      <c r="S27" s="96">
        <f t="shared" si="6"/>
        <v>0.14295546218330543</v>
      </c>
      <c r="T27" s="96">
        <f t="shared" si="7"/>
        <v>0.19079387172004972</v>
      </c>
      <c r="U27" s="96">
        <f t="shared" si="8"/>
        <v>0.1569927248118741</v>
      </c>
      <c r="V27" s="96">
        <f t="shared" si="9"/>
        <v>0.10630543376891625</v>
      </c>
      <c r="W27" s="96"/>
      <c r="X27" s="96">
        <f t="shared" si="10"/>
        <v>0.24958391347993136</v>
      </c>
      <c r="Y27" s="96">
        <f t="shared" si="13"/>
        <v>4.8802266412306929</v>
      </c>
      <c r="Z27" s="96">
        <f t="shared" si="13"/>
        <v>17.798977079824922</v>
      </c>
      <c r="AA27" s="96">
        <f t="shared" si="13"/>
        <v>5.5149957974944099</v>
      </c>
      <c r="AB27" s="96">
        <f t="shared" si="13"/>
        <v>4.7683375915979838</v>
      </c>
      <c r="AC27" s="96">
        <f t="shared" si="13"/>
        <v>16.511443732529127</v>
      </c>
      <c r="AD27" s="96">
        <f t="shared" si="13"/>
        <v>24.004934459192047</v>
      </c>
      <c r="AE27" s="96">
        <f t="shared" si="13"/>
        <v>20.636721707793978</v>
      </c>
      <c r="AF27" s="96">
        <f t="shared" si="13"/>
        <v>5.6347790768569066</v>
      </c>
      <c r="AG27" s="96">
        <f t="shared" si="13"/>
        <v>100</v>
      </c>
    </row>
    <row r="28" spans="1:33" x14ac:dyDescent="0.3">
      <c r="A28" s="10" t="str">
        <f>name!D24</f>
        <v>71 Sales occupations</v>
      </c>
      <c r="B28" s="68">
        <f>'Basic T2'!D28</f>
        <v>4.9672291800846011</v>
      </c>
      <c r="C28" s="68">
        <f>'Basic T2'!O28</f>
        <v>73.997740566399173</v>
      </c>
      <c r="D28" s="68">
        <f>'Basic T2'!Z28</f>
        <v>259.75143029010133</v>
      </c>
      <c r="E28" s="68">
        <f>'Basic T2'!AK28</f>
        <v>84.109301338094326</v>
      </c>
      <c r="F28" s="68">
        <f>'Basic T2'!AV28</f>
        <v>67.910989796222367</v>
      </c>
      <c r="G28" s="68">
        <f>'Basic T2'!BG28</f>
        <v>495.33063249350482</v>
      </c>
      <c r="H28" s="68">
        <f>'Basic T2'!BR28</f>
        <v>447.41848732431663</v>
      </c>
      <c r="I28" s="68">
        <f>'Basic T2'!CC28</f>
        <v>306.33328574123635</v>
      </c>
      <c r="J28" s="68">
        <f>'Basic T2'!CN28</f>
        <v>112.48762619804957</v>
      </c>
      <c r="K28" s="309">
        <f t="shared" si="12"/>
        <v>1852.3067229280091</v>
      </c>
      <c r="L28" s="96"/>
      <c r="M28" s="96">
        <f t="shared" si="0"/>
        <v>0.95039690134727883</v>
      </c>
      <c r="N28" s="96">
        <f t="shared" si="1"/>
        <v>1.9652603178812562</v>
      </c>
      <c r="O28" s="96">
        <f t="shared" si="2"/>
        <v>4.0638319600607344</v>
      </c>
      <c r="P28" s="96">
        <f t="shared" si="3"/>
        <v>4.930373087185294</v>
      </c>
      <c r="Q28" s="96">
        <f t="shared" si="4"/>
        <v>3.929082129371702</v>
      </c>
      <c r="R28" s="96">
        <f t="shared" si="5"/>
        <v>8.4776316836690011</v>
      </c>
      <c r="S28" s="96">
        <f t="shared" si="6"/>
        <v>8.3940881758467221</v>
      </c>
      <c r="T28" s="96">
        <f t="shared" si="7"/>
        <v>8.9223093135063838</v>
      </c>
      <c r="U28" s="96">
        <f t="shared" si="8"/>
        <v>9.8734006021718379</v>
      </c>
      <c r="V28" s="96">
        <f t="shared" si="9"/>
        <v>6.2033707691931372</v>
      </c>
      <c r="W28" s="96"/>
      <c r="X28" s="96">
        <f t="shared" si="10"/>
        <v>0.26816450637466344</v>
      </c>
      <c r="Y28" s="96">
        <f t="shared" si="13"/>
        <v>3.994896722581033</v>
      </c>
      <c r="Z28" s="96">
        <f t="shared" si="13"/>
        <v>14.023132728228871</v>
      </c>
      <c r="AA28" s="96">
        <f t="shared" si="13"/>
        <v>4.5407869170360549</v>
      </c>
      <c r="AB28" s="96">
        <f t="shared" si="13"/>
        <v>3.666292896074629</v>
      </c>
      <c r="AC28" s="96">
        <f t="shared" si="13"/>
        <v>26.741285682455306</v>
      </c>
      <c r="AD28" s="96">
        <f t="shared" si="13"/>
        <v>24.154665195895085</v>
      </c>
      <c r="AE28" s="96">
        <f t="shared" si="13"/>
        <v>16.537935210697942</v>
      </c>
      <c r="AF28" s="96">
        <f t="shared" si="13"/>
        <v>6.0728401406564165</v>
      </c>
      <c r="AG28" s="96">
        <f t="shared" si="13"/>
        <v>100</v>
      </c>
    </row>
    <row r="29" spans="1:33" x14ac:dyDescent="0.3">
      <c r="A29" s="10" t="str">
        <f>name!D25</f>
        <v>72 Customer service occupations</v>
      </c>
      <c r="B29" s="68">
        <f>'Basic T2'!D29</f>
        <v>2.1830937583502994</v>
      </c>
      <c r="C29" s="68">
        <f>'Basic T2'!O29</f>
        <v>25.210169955404712</v>
      </c>
      <c r="D29" s="68">
        <f>'Basic T2'!Z29</f>
        <v>89.460063459699242</v>
      </c>
      <c r="E29" s="68">
        <f>'Basic T2'!AK29</f>
        <v>28.769532269541855</v>
      </c>
      <c r="F29" s="68">
        <f>'Basic T2'!AV29</f>
        <v>35.826167067339711</v>
      </c>
      <c r="G29" s="68">
        <f>'Basic T2'!BG29</f>
        <v>125.02202060585394</v>
      </c>
      <c r="H29" s="68">
        <f>'Basic T2'!BR29</f>
        <v>123.61311904453656</v>
      </c>
      <c r="I29" s="68">
        <f>'Basic T2'!CC29</f>
        <v>59.496091571225016</v>
      </c>
      <c r="J29" s="68">
        <f>'Basic T2'!CN29</f>
        <v>20.446300974883034</v>
      </c>
      <c r="K29" s="309">
        <f t="shared" si="12"/>
        <v>510.02655870683441</v>
      </c>
      <c r="L29" s="96"/>
      <c r="M29" s="96">
        <f t="shared" si="0"/>
        <v>0.41769877492372359</v>
      </c>
      <c r="N29" s="96">
        <f t="shared" si="1"/>
        <v>0.66954134330550497</v>
      </c>
      <c r="O29" s="96">
        <f t="shared" si="2"/>
        <v>1.3996098679054765</v>
      </c>
      <c r="P29" s="96">
        <f t="shared" si="3"/>
        <v>1.6864309342255179</v>
      </c>
      <c r="Q29" s="96">
        <f t="shared" si="4"/>
        <v>2.0727713321592556</v>
      </c>
      <c r="R29" s="96">
        <f t="shared" si="5"/>
        <v>2.1397639748403896</v>
      </c>
      <c r="S29" s="96">
        <f t="shared" si="6"/>
        <v>2.3191250481322796</v>
      </c>
      <c r="T29" s="96">
        <f t="shared" si="7"/>
        <v>1.7328921036402787</v>
      </c>
      <c r="U29" s="96">
        <f t="shared" si="8"/>
        <v>1.7946375719776464</v>
      </c>
      <c r="V29" s="96">
        <f t="shared" si="9"/>
        <v>1.7080777209472506</v>
      </c>
      <c r="W29" s="96"/>
      <c r="X29" s="96">
        <f t="shared" si="10"/>
        <v>0.42803530935438044</v>
      </c>
      <c r="Y29" s="96">
        <f t="shared" si="13"/>
        <v>4.9429131728600106</v>
      </c>
      <c r="Z29" s="96">
        <f t="shared" si="13"/>
        <v>17.540275488108708</v>
      </c>
      <c r="AA29" s="96">
        <f t="shared" si="13"/>
        <v>5.640791009489118</v>
      </c>
      <c r="AB29" s="96">
        <f t="shared" si="13"/>
        <v>7.0243728401470857</v>
      </c>
      <c r="AC29" s="96">
        <f t="shared" si="13"/>
        <v>24.51284515905321</v>
      </c>
      <c r="AD29" s="96">
        <f t="shared" si="13"/>
        <v>24.236604336440045</v>
      </c>
      <c r="AE29" s="96">
        <f t="shared" si="13"/>
        <v>11.665292827510115</v>
      </c>
      <c r="AF29" s="96">
        <f t="shared" si="13"/>
        <v>4.00886985703732</v>
      </c>
      <c r="AG29" s="96">
        <f t="shared" si="13"/>
        <v>100</v>
      </c>
    </row>
    <row r="30" spans="1:33" x14ac:dyDescent="0.3">
      <c r="A30" s="10" t="str">
        <f>name!D26</f>
        <v>81 Process, plant and machine operatives</v>
      </c>
      <c r="B30" s="68">
        <f>'Basic T2'!D30</f>
        <v>1.3629367616863914</v>
      </c>
      <c r="C30" s="68">
        <f>'Basic T2'!O30</f>
        <v>9.5903367388609357</v>
      </c>
      <c r="D30" s="68">
        <f>'Basic T2'!Z30</f>
        <v>23.691286304014007</v>
      </c>
      <c r="E30" s="68">
        <f>'Basic T2'!AK30</f>
        <v>11.067972891208601</v>
      </c>
      <c r="F30" s="68">
        <f>'Basic T2'!AV30</f>
        <v>23.782816749732536</v>
      </c>
      <c r="G30" s="68">
        <f>'Basic T2'!BG30</f>
        <v>150.35092239301665</v>
      </c>
      <c r="H30" s="68">
        <f>'Basic T2'!BR30</f>
        <v>185.08155127611423</v>
      </c>
      <c r="I30" s="68">
        <f>'Basic T2'!CC30</f>
        <v>143.68211863903088</v>
      </c>
      <c r="J30" s="68">
        <f>'Basic T2'!CN30</f>
        <v>58.671951906831424</v>
      </c>
      <c r="K30" s="309">
        <f t="shared" si="12"/>
        <v>607.2818936604956</v>
      </c>
      <c r="L30" s="96"/>
      <c r="M30" s="96">
        <f t="shared" si="0"/>
        <v>0.26077533934461611</v>
      </c>
      <c r="N30" s="96">
        <f t="shared" si="1"/>
        <v>0.25470383397841734</v>
      </c>
      <c r="O30" s="96">
        <f t="shared" si="2"/>
        <v>0.37065207436846304</v>
      </c>
      <c r="P30" s="96">
        <f t="shared" si="3"/>
        <v>0.64878954888900142</v>
      </c>
      <c r="Q30" s="96">
        <f t="shared" si="4"/>
        <v>1.3759870170923953</v>
      </c>
      <c r="R30" s="96">
        <f t="shared" si="5"/>
        <v>2.573270578747441</v>
      </c>
      <c r="S30" s="96">
        <f t="shared" si="6"/>
        <v>3.4723439132457226</v>
      </c>
      <c r="T30" s="96">
        <f t="shared" si="7"/>
        <v>4.1849069787351025</v>
      </c>
      <c r="U30" s="96">
        <f t="shared" si="8"/>
        <v>5.1498258507792292</v>
      </c>
      <c r="V30" s="96">
        <f t="shared" si="9"/>
        <v>2.0337856042755331</v>
      </c>
      <c r="W30" s="96"/>
      <c r="X30" s="96">
        <f t="shared" si="10"/>
        <v>0.22443230662963731</v>
      </c>
      <c r="Y30" s="96">
        <f t="shared" si="13"/>
        <v>1.5792232304265716</v>
      </c>
      <c r="Z30" s="96">
        <f t="shared" si="13"/>
        <v>3.9012008346256994</v>
      </c>
      <c r="AA30" s="96">
        <f t="shared" si="13"/>
        <v>1.8225428761747695</v>
      </c>
      <c r="AB30" s="96">
        <f t="shared" si="13"/>
        <v>3.9162729859073409</v>
      </c>
      <c r="AC30" s="96">
        <f t="shared" si="13"/>
        <v>24.758011717877956</v>
      </c>
      <c r="AD30" s="96">
        <f t="shared" si="13"/>
        <v>30.477040927484843</v>
      </c>
      <c r="AE30" s="96">
        <f t="shared" si="13"/>
        <v>23.659871986790566</v>
      </c>
      <c r="AF30" s="96">
        <f t="shared" si="13"/>
        <v>9.6614031340826223</v>
      </c>
      <c r="AG30" s="96">
        <f t="shared" si="13"/>
        <v>100</v>
      </c>
    </row>
    <row r="31" spans="1:33" x14ac:dyDescent="0.3">
      <c r="A31" s="10" t="str">
        <f>name!D27</f>
        <v>82 Transport and mobile machine drivers and operatives</v>
      </c>
      <c r="B31" s="68">
        <f>'Basic T2'!D31</f>
        <v>3.2117085434088777</v>
      </c>
      <c r="C31" s="68">
        <f>'Basic T2'!O31</f>
        <v>21.854583367274181</v>
      </c>
      <c r="D31" s="68">
        <f>'Basic T2'!Z31</f>
        <v>59.435814813232163</v>
      </c>
      <c r="E31" s="68">
        <f>'Basic T2'!AK31</f>
        <v>28.255317739483925</v>
      </c>
      <c r="F31" s="68">
        <f>'Basic T2'!AV31</f>
        <v>44.818084195127589</v>
      </c>
      <c r="G31" s="68">
        <f>'Basic T2'!BG31</f>
        <v>214.25788601184234</v>
      </c>
      <c r="H31" s="68">
        <f>'Basic T2'!BR31</f>
        <v>307.89564591149946</v>
      </c>
      <c r="I31" s="68">
        <f>'Basic T2'!CC31</f>
        <v>258.44996807258138</v>
      </c>
      <c r="J31" s="68">
        <f>'Basic T2'!CN31</f>
        <v>116.67664197955634</v>
      </c>
      <c r="K31" s="309">
        <f t="shared" si="12"/>
        <v>1054.8556506340062</v>
      </c>
      <c r="L31" s="96"/>
      <c r="M31" s="96">
        <f t="shared" si="0"/>
        <v>0.61450715016825364</v>
      </c>
      <c r="N31" s="96">
        <f t="shared" si="1"/>
        <v>0.58042239028895903</v>
      </c>
      <c r="O31" s="96">
        <f t="shared" si="2"/>
        <v>0.92987808975875608</v>
      </c>
      <c r="P31" s="96">
        <f t="shared" si="3"/>
        <v>1.6562883763906096</v>
      </c>
      <c r="Q31" s="96">
        <f t="shared" si="4"/>
        <v>2.5930108545339974</v>
      </c>
      <c r="R31" s="96">
        <f t="shared" si="5"/>
        <v>3.6670444421863091</v>
      </c>
      <c r="S31" s="96">
        <f t="shared" si="6"/>
        <v>5.7764783395438881</v>
      </c>
      <c r="T31" s="96">
        <f t="shared" si="7"/>
        <v>7.5276526076154298</v>
      </c>
      <c r="U31" s="96">
        <f t="shared" si="8"/>
        <v>10.241083985114036</v>
      </c>
      <c r="V31" s="96">
        <f t="shared" si="9"/>
        <v>3.5327090421166307</v>
      </c>
      <c r="W31" s="96"/>
      <c r="X31" s="96">
        <f t="shared" si="10"/>
        <v>0.30446900876707872</v>
      </c>
      <c r="Y31" s="96">
        <f t="shared" si="13"/>
        <v>2.0718079629320645</v>
      </c>
      <c r="Z31" s="96">
        <f t="shared" si="13"/>
        <v>5.6344974573069875</v>
      </c>
      <c r="AA31" s="96">
        <f t="shared" si="13"/>
        <v>2.6785956659094978</v>
      </c>
      <c r="AB31" s="96">
        <f t="shared" si="13"/>
        <v>4.2487409692681934</v>
      </c>
      <c r="AC31" s="96">
        <f t="shared" si="13"/>
        <v>20.31158347429486</v>
      </c>
      <c r="AD31" s="96">
        <f t="shared" si="13"/>
        <v>29.188415090391096</v>
      </c>
      <c r="AE31" s="96">
        <f t="shared" si="13"/>
        <v>24.500979628562796</v>
      </c>
      <c r="AF31" s="96">
        <f t="shared" si="13"/>
        <v>11.060910742567428</v>
      </c>
      <c r="AG31" s="96">
        <f t="shared" si="13"/>
        <v>100</v>
      </c>
    </row>
    <row r="32" spans="1:33" x14ac:dyDescent="0.3">
      <c r="A32" s="10" t="str">
        <f>name!D28</f>
        <v>91 Elementary trades and related occupations</v>
      </c>
      <c r="B32" s="68">
        <f>'Basic T2'!D32</f>
        <v>2.05621386959495E-2</v>
      </c>
      <c r="C32" s="68">
        <f>'Basic T2'!O32</f>
        <v>4.9949778516643741</v>
      </c>
      <c r="D32" s="68">
        <f>'Basic T2'!Z32</f>
        <v>17.011527991612063</v>
      </c>
      <c r="E32" s="68">
        <f>'Basic T2'!AK32</f>
        <v>11.42274635611418</v>
      </c>
      <c r="F32" s="68">
        <f>'Basic T2'!AV32</f>
        <v>14.056815712274055</v>
      </c>
      <c r="G32" s="68">
        <f>'Basic T2'!BG32</f>
        <v>61.061791005665413</v>
      </c>
      <c r="H32" s="68">
        <f>'Basic T2'!BR32</f>
        <v>97.703342980777961</v>
      </c>
      <c r="I32" s="68">
        <f>'Basic T2'!CC32</f>
        <v>118.12468614136257</v>
      </c>
      <c r="J32" s="68">
        <f>'Basic T2'!CN32</f>
        <v>56.955761840562467</v>
      </c>
      <c r="K32" s="309">
        <f t="shared" si="12"/>
        <v>381.35221201872901</v>
      </c>
      <c r="L32" s="96"/>
      <c r="M32" s="96">
        <f t="shared" si="0"/>
        <v>3.9342241304377544E-3</v>
      </c>
      <c r="N32" s="96">
        <f t="shared" si="1"/>
        <v>0.13265853369892214</v>
      </c>
      <c r="O32" s="96">
        <f t="shared" si="2"/>
        <v>0.26614671982584037</v>
      </c>
      <c r="P32" s="96">
        <f t="shared" si="3"/>
        <v>0.6695858878858838</v>
      </c>
      <c r="Q32" s="96">
        <f t="shared" si="4"/>
        <v>0.81327607765245091</v>
      </c>
      <c r="R32" s="96">
        <f t="shared" si="5"/>
        <v>1.0450784589785933</v>
      </c>
      <c r="S32" s="96">
        <f t="shared" si="6"/>
        <v>1.8330276894909883</v>
      </c>
      <c r="T32" s="96">
        <f t="shared" si="7"/>
        <v>3.4405173592672478</v>
      </c>
      <c r="U32" s="96">
        <f t="shared" si="8"/>
        <v>4.9991903310651944</v>
      </c>
      <c r="V32" s="96">
        <f t="shared" si="9"/>
        <v>1.2771476427319917</v>
      </c>
      <c r="W32" s="96"/>
      <c r="X32" s="96">
        <f t="shared" si="10"/>
        <v>5.3919023013139491E-3</v>
      </c>
      <c r="Y32" s="96">
        <f t="shared" si="13"/>
        <v>1.3098069695788366</v>
      </c>
      <c r="Z32" s="96">
        <f t="shared" si="13"/>
        <v>4.4608441895642104</v>
      </c>
      <c r="AA32" s="96">
        <f t="shared" si="13"/>
        <v>2.9953271532493919</v>
      </c>
      <c r="AB32" s="96">
        <f t="shared" si="13"/>
        <v>3.6860454113699217</v>
      </c>
      <c r="AC32" s="96">
        <f t="shared" si="13"/>
        <v>16.011914729018681</v>
      </c>
      <c r="AD32" s="96">
        <f t="shared" si="13"/>
        <v>25.62023764424357</v>
      </c>
      <c r="AE32" s="96">
        <f t="shared" si="13"/>
        <v>30.975219867234237</v>
      </c>
      <c r="AF32" s="96">
        <f t="shared" si="13"/>
        <v>14.935212133439849</v>
      </c>
      <c r="AG32" s="96">
        <f t="shared" si="13"/>
        <v>100</v>
      </c>
    </row>
    <row r="33" spans="1:33" x14ac:dyDescent="0.3">
      <c r="A33" s="10" t="str">
        <f>name!D29</f>
        <v>92 Elementary administration and service occupations</v>
      </c>
      <c r="B33" s="68">
        <f>'Basic T2'!D33</f>
        <v>2.3153835995531971</v>
      </c>
      <c r="C33" s="68">
        <f>'Basic T2'!O33</f>
        <v>76.673813160893658</v>
      </c>
      <c r="D33" s="68">
        <f>'Basic T2'!Z33</f>
        <v>233.43367381882743</v>
      </c>
      <c r="E33" s="68">
        <f>'Basic T2'!AK33</f>
        <v>112.34434150796795</v>
      </c>
      <c r="F33" s="68">
        <f>'Basic T2'!AV33</f>
        <v>99.968612222286097</v>
      </c>
      <c r="G33" s="68">
        <f>'Basic T2'!BG33</f>
        <v>467.51238815628125</v>
      </c>
      <c r="H33" s="68">
        <f>'Basic T2'!BR33</f>
        <v>731.87778282282113</v>
      </c>
      <c r="I33" s="68">
        <f>'Basic T2'!CC33</f>
        <v>657.94918178803675</v>
      </c>
      <c r="J33" s="68">
        <f>'Basic T2'!CN33</f>
        <v>238.08358981535221</v>
      </c>
      <c r="K33" s="309">
        <f>SUM(B33:J33)</f>
        <v>2620.1587668920197</v>
      </c>
      <c r="L33" s="96"/>
      <c r="M33" s="96">
        <f t="shared" si="0"/>
        <v>0.4430102414578318</v>
      </c>
      <c r="N33" s="96">
        <f t="shared" si="1"/>
        <v>2.0363324781590477</v>
      </c>
      <c r="O33" s="96">
        <f t="shared" si="2"/>
        <v>3.6520885492713857</v>
      </c>
      <c r="P33" s="96">
        <f t="shared" si="3"/>
        <v>6.5854728199670562</v>
      </c>
      <c r="Q33" s="96">
        <f t="shared" si="4"/>
        <v>5.7838192162901292</v>
      </c>
      <c r="R33" s="96">
        <f t="shared" si="5"/>
        <v>8.0015197412476233</v>
      </c>
      <c r="S33" s="96">
        <f t="shared" si="6"/>
        <v>13.730873481999877</v>
      </c>
      <c r="T33" s="96">
        <f t="shared" si="7"/>
        <v>19.163526739435458</v>
      </c>
      <c r="U33" s="96">
        <f t="shared" si="8"/>
        <v>20.897362123291835</v>
      </c>
      <c r="V33" s="96">
        <f t="shared" si="9"/>
        <v>8.7749054214358662</v>
      </c>
      <c r="W33" s="96"/>
      <c r="X33" s="96">
        <f>IF($K33&gt;0,B33/$K33*100,0)</f>
        <v>8.8368064897825213E-2</v>
      </c>
      <c r="Y33" s="96">
        <f t="shared" ref="Y33" si="14">IF($K33&gt;0,C33/$K33*100,0)</f>
        <v>2.9263040900320179</v>
      </c>
      <c r="Z33" s="96">
        <f t="shared" ref="Z33" si="15">IF($K33&gt;0,D33/$K33*100,0)</f>
        <v>8.909142330169626</v>
      </c>
      <c r="AA33" s="96">
        <f t="shared" ref="AA33" si="16">IF($K33&gt;0,E33/$K33*100,0)</f>
        <v>4.2876921401686117</v>
      </c>
      <c r="AB33" s="96">
        <f t="shared" ref="AB33" si="17">IF($K33&gt;0,F33/$K33*100,0)</f>
        <v>3.815364682685503</v>
      </c>
      <c r="AC33" s="96">
        <f t="shared" ref="AC33" si="18">IF($K33&gt;0,G33/$K33*100,0)</f>
        <v>17.842903035636851</v>
      </c>
      <c r="AD33" s="96">
        <f t="shared" ref="AD33" si="19">IF($K33&gt;0,H33/$K33*100,0)</f>
        <v>27.932573860436712</v>
      </c>
      <c r="AE33" s="96">
        <f t="shared" ref="AE33" si="20">IF($K33&gt;0,I33/$K33*100,0)</f>
        <v>25.111042510163728</v>
      </c>
      <c r="AF33" s="96">
        <f>IF($K33&gt;0,J33/$K33*100,0)</f>
        <v>9.0866092858091285</v>
      </c>
      <c r="AG33" s="96">
        <f t="shared" ref="AG33" si="21">IF($K33&gt;0,K33/$K33*100,0)</f>
        <v>100</v>
      </c>
    </row>
    <row r="34" spans="1:33" x14ac:dyDescent="0.3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3">
      <c r="A35" s="107" t="str">
        <f>name!D3</f>
        <v>All occupations</v>
      </c>
      <c r="B35" s="310">
        <f>SUM(B8:B33)</f>
        <v>522.64787196202735</v>
      </c>
      <c r="C35" s="310">
        <f t="shared" ref="C35:K35" si="22">SUM(C8:C33)</f>
        <v>3765.2895086273356</v>
      </c>
      <c r="D35" s="310">
        <f t="shared" si="22"/>
        <v>6391.7857047962016</v>
      </c>
      <c r="E35" s="310">
        <f t="shared" si="22"/>
        <v>1705.9419206369141</v>
      </c>
      <c r="F35" s="310">
        <f t="shared" si="22"/>
        <v>1728.4186881347268</v>
      </c>
      <c r="G35" s="310">
        <f t="shared" si="22"/>
        <v>5842.7949099002681</v>
      </c>
      <c r="H35" s="310">
        <f t="shared" si="22"/>
        <v>5330.1618704902985</v>
      </c>
      <c r="I35" s="310">
        <f t="shared" si="22"/>
        <v>3433.3407975165819</v>
      </c>
      <c r="J35" s="310">
        <f t="shared" si="22"/>
        <v>1139.2997279306769</v>
      </c>
      <c r="K35" s="310">
        <f t="shared" si="22"/>
        <v>29859.680999995035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1.7503464687453101</v>
      </c>
      <c r="Y35" s="97">
        <f t="shared" ref="Y35:AG35" si="24">IF($K35&gt;0,C35/$K35*100,0)</f>
        <v>12.609945526973185</v>
      </c>
      <c r="Z35" s="97">
        <f t="shared" si="24"/>
        <v>21.406074983846157</v>
      </c>
      <c r="AA35" s="97">
        <f t="shared" si="24"/>
        <v>5.7131953976239656</v>
      </c>
      <c r="AB35" s="97">
        <f t="shared" si="24"/>
        <v>5.7884700380255714</v>
      </c>
      <c r="AC35" s="97">
        <f t="shared" si="24"/>
        <v>19.567506129423286</v>
      </c>
      <c r="AD35" s="97">
        <f t="shared" si="24"/>
        <v>17.850699310857291</v>
      </c>
      <c r="AE35" s="97">
        <f t="shared" si="24"/>
        <v>11.498250090204088</v>
      </c>
      <c r="AF35" s="97">
        <f t="shared" si="24"/>
        <v>3.8155120543011374</v>
      </c>
      <c r="AG35" s="97">
        <f t="shared" si="24"/>
        <v>100</v>
      </c>
    </row>
    <row r="37" spans="1:33" x14ac:dyDescent="0.3">
      <c r="A37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5234375" defaultRowHeight="12.45" x14ac:dyDescent="0.3"/>
  <cols>
    <col min="1" max="1" width="33.69140625" style="90" customWidth="1"/>
    <col min="2" max="2" width="5.69140625" style="90" customWidth="1"/>
    <col min="3" max="3" width="11.69140625" style="90" customWidth="1"/>
    <col min="4" max="4" width="7.84375" style="90" customWidth="1"/>
    <col min="5" max="5" width="9.84375" style="90" customWidth="1"/>
    <col min="6" max="6" width="10" style="90" customWidth="1"/>
    <col min="7" max="7" width="2.69140625" style="90" customWidth="1"/>
    <col min="8" max="8" width="5.69140625" style="90" customWidth="1"/>
    <col min="9" max="9" width="10.69140625" style="90" customWidth="1"/>
    <col min="10" max="12" width="8.69140625" style="90" customWidth="1"/>
    <col min="13" max="13" width="2.69140625" style="90" customWidth="1"/>
    <col min="14" max="14" width="5.69140625" style="90" customWidth="1"/>
    <col min="15" max="15" width="10.69140625" style="90" customWidth="1"/>
    <col min="16" max="18" width="8.69140625" style="90" customWidth="1"/>
    <col min="19" max="19" width="2.69140625" style="90" customWidth="1"/>
    <col min="20" max="20" width="5.69140625" style="90" customWidth="1"/>
    <col min="21" max="21" width="10.69140625" style="90" customWidth="1"/>
    <col min="22" max="24" width="8.69140625" style="90" customWidth="1"/>
    <col min="25" max="25" width="33.69140625" style="90" customWidth="1"/>
    <col min="26" max="26" width="5.69140625" style="90" customWidth="1"/>
    <col min="27" max="27" width="11.69140625" style="90" customWidth="1"/>
    <col min="28" max="28" width="7.3828125" style="90" customWidth="1"/>
    <col min="29" max="30" width="8.69140625" style="90" customWidth="1"/>
    <col min="31" max="31" width="2.69140625" style="90" customWidth="1"/>
    <col min="32" max="32" width="5.69140625" style="90" customWidth="1"/>
    <col min="33" max="33" width="10.69140625" style="90" customWidth="1"/>
    <col min="34" max="36" width="8.69140625" style="90" customWidth="1"/>
    <col min="37" max="37" width="2.69140625" style="90" customWidth="1"/>
    <col min="38" max="38" width="5.69140625" style="90" customWidth="1"/>
    <col min="39" max="39" width="10.69140625" style="90" customWidth="1"/>
    <col min="40" max="42" width="8.69140625" style="90" customWidth="1"/>
    <col min="43" max="43" width="2.69140625" style="90" customWidth="1"/>
    <col min="44" max="44" width="5.69140625" style="90" customWidth="1"/>
    <col min="45" max="45" width="10.69140625" style="90" customWidth="1"/>
    <col min="46" max="48" width="8.69140625" style="90" customWidth="1"/>
    <col min="49" max="49" width="33.69140625" style="90" customWidth="1"/>
    <col min="50" max="50" width="5.69140625" style="90" customWidth="1"/>
    <col min="51" max="51" width="11.69140625" style="90" customWidth="1"/>
    <col min="52" max="52" width="7.3828125" style="90" customWidth="1"/>
    <col min="53" max="54" width="8.69140625" style="90" customWidth="1"/>
    <col min="55" max="55" width="2.69140625" style="90" customWidth="1"/>
    <col min="56" max="56" width="5.69140625" style="90" customWidth="1"/>
    <col min="57" max="57" width="10.69140625" style="90" customWidth="1"/>
    <col min="58" max="60" width="8.69140625" style="90" customWidth="1"/>
    <col min="61" max="61" width="2.69140625" style="90" customWidth="1"/>
    <col min="62" max="62" width="5.69140625" style="90" customWidth="1"/>
    <col min="63" max="63" width="10.69140625" style="90" customWidth="1"/>
    <col min="64" max="66" width="8.69140625" style="90" customWidth="1"/>
    <col min="67" max="67" width="2.69140625" style="90" customWidth="1"/>
    <col min="68" max="68" width="5.69140625" style="90" customWidth="1"/>
    <col min="69" max="69" width="10.69140625" style="90" customWidth="1"/>
    <col min="70" max="72" width="8.69140625" style="90" customWidth="1"/>
    <col min="73" max="73" width="33.69140625" style="90" customWidth="1"/>
    <col min="74" max="74" width="5.69140625" style="90" customWidth="1"/>
    <col min="75" max="75" width="11.69140625" style="90" customWidth="1"/>
    <col min="76" max="76" width="7.3828125" style="90" customWidth="1"/>
    <col min="77" max="78" width="8.69140625" style="90" customWidth="1"/>
    <col min="79" max="79" width="2.69140625" style="90" customWidth="1"/>
    <col min="80" max="80" width="5.69140625" style="90" customWidth="1"/>
    <col min="81" max="81" width="10.69140625" style="90" customWidth="1"/>
    <col min="82" max="84" width="8.69140625" style="90" customWidth="1"/>
    <col min="85" max="85" width="2.69140625" style="90" customWidth="1"/>
    <col min="86" max="86" width="5.69140625" style="90" customWidth="1"/>
    <col min="87" max="87" width="10.69140625" style="90" customWidth="1"/>
    <col min="88" max="90" width="8.69140625" style="90" customWidth="1"/>
    <col min="91" max="91" width="2.69140625" style="90" customWidth="1"/>
    <col min="92" max="92" width="5.69140625" style="90" customWidth="1"/>
    <col min="93" max="93" width="10.69140625" style="90" customWidth="1"/>
    <col min="94" max="96" width="8.69140625" style="90" customWidth="1"/>
    <col min="97" max="97" width="33.69140625" style="90" customWidth="1"/>
    <col min="98" max="98" width="5.69140625" style="90" customWidth="1"/>
    <col min="99" max="99" width="11.69140625" style="90" customWidth="1"/>
    <col min="100" max="100" width="7.3828125" style="90" customWidth="1"/>
    <col min="101" max="102" width="8.69140625" style="90" customWidth="1"/>
    <col min="103" max="103" width="2.69140625" style="90" customWidth="1"/>
    <col min="104" max="104" width="5.69140625" style="90" customWidth="1"/>
    <col min="105" max="105" width="10.69140625" style="90" customWidth="1"/>
    <col min="106" max="108" width="8.69140625" style="90" customWidth="1"/>
    <col min="109" max="109" width="2.69140625" style="90" customWidth="1"/>
    <col min="110" max="110" width="5.69140625" style="90" customWidth="1"/>
    <col min="111" max="111" width="10.69140625" style="90" customWidth="1"/>
    <col min="112" max="114" width="8.69140625" style="90" customWidth="1"/>
    <col min="115" max="115" width="2.69140625" style="90" customWidth="1"/>
    <col min="116" max="116" width="5.69140625" style="90" customWidth="1"/>
    <col min="117" max="117" width="10.69140625" style="90" customWidth="1"/>
    <col min="118" max="120" width="8.69140625" style="90" customWidth="1"/>
    <col min="121" max="16384" width="9.15234375" style="90"/>
  </cols>
  <sheetData>
    <row r="1" spans="1:120" ht="15.45" x14ac:dyDescent="0.4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45" x14ac:dyDescent="0.4">
      <c r="A2" s="18"/>
      <c r="Y2" s="18"/>
      <c r="AW2" s="18"/>
      <c r="BU2" s="18"/>
      <c r="CS2" s="18"/>
    </row>
    <row r="3" spans="1:120" x14ac:dyDescent="0.3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3">
      <c r="A4" s="95"/>
      <c r="B4" s="382" t="str">
        <f>name!F3</f>
        <v>All qualifications</v>
      </c>
      <c r="C4" s="382"/>
      <c r="D4" s="382"/>
      <c r="E4" s="382"/>
      <c r="F4" s="382"/>
      <c r="G4" s="102"/>
      <c r="H4" s="382" t="str">
        <f>name!F4</f>
        <v>RQF8 Doctorate</v>
      </c>
      <c r="I4" s="382"/>
      <c r="J4" s="382"/>
      <c r="K4" s="382"/>
      <c r="L4" s="382"/>
      <c r="N4" s="383" t="str">
        <f>name!F5</f>
        <v>RQF7 Other higher degree</v>
      </c>
      <c r="O4" s="383"/>
      <c r="P4" s="383"/>
      <c r="Q4" s="383"/>
      <c r="R4" s="383"/>
      <c r="S4" s="110"/>
      <c r="T4" s="383" t="str">
        <f>name!F6</f>
        <v>RQF6 First degree</v>
      </c>
      <c r="U4" s="383"/>
      <c r="V4" s="383"/>
      <c r="W4" s="383"/>
      <c r="X4" s="383"/>
      <c r="Y4" s="95"/>
      <c r="Z4" s="382" t="str">
        <f>$B$4</f>
        <v>All qualifications</v>
      </c>
      <c r="AA4" s="382"/>
      <c r="AB4" s="382"/>
      <c r="AC4" s="382"/>
      <c r="AD4" s="382"/>
      <c r="AE4" s="102"/>
      <c r="AF4" s="382" t="str">
        <f>$H$4</f>
        <v>RQF8 Doctorate</v>
      </c>
      <c r="AG4" s="382"/>
      <c r="AH4" s="382"/>
      <c r="AI4" s="382"/>
      <c r="AJ4" s="382"/>
      <c r="AL4" s="383" t="str">
        <f>$N$4</f>
        <v>RQF7 Other higher degree</v>
      </c>
      <c r="AM4" s="383"/>
      <c r="AN4" s="383"/>
      <c r="AO4" s="383"/>
      <c r="AP4" s="383"/>
      <c r="AQ4" s="110"/>
      <c r="AR4" s="383" t="str">
        <f>$T$4</f>
        <v>RQF6 First degree</v>
      </c>
      <c r="AS4" s="383"/>
      <c r="AT4" s="383"/>
      <c r="AU4" s="383"/>
      <c r="AV4" s="383"/>
      <c r="AW4" s="95"/>
      <c r="AX4" s="382" t="str">
        <f>$B$4</f>
        <v>All qualifications</v>
      </c>
      <c r="AY4" s="382"/>
      <c r="AZ4" s="382"/>
      <c r="BA4" s="382"/>
      <c r="BB4" s="382"/>
      <c r="BC4" s="102"/>
      <c r="BD4" s="382" t="str">
        <f>$H$4</f>
        <v>RQF8 Doctorate</v>
      </c>
      <c r="BE4" s="382"/>
      <c r="BF4" s="382"/>
      <c r="BG4" s="382"/>
      <c r="BH4" s="382"/>
      <c r="BJ4" s="383" t="str">
        <f>$N$4</f>
        <v>RQF7 Other higher degree</v>
      </c>
      <c r="BK4" s="383"/>
      <c r="BL4" s="383"/>
      <c r="BM4" s="383"/>
      <c r="BN4" s="383"/>
      <c r="BO4" s="110"/>
      <c r="BP4" s="383" t="str">
        <f>$T$4</f>
        <v>RQF6 First degree</v>
      </c>
      <c r="BQ4" s="383"/>
      <c r="BR4" s="383"/>
      <c r="BS4" s="383"/>
      <c r="BT4" s="383"/>
      <c r="BU4" s="95"/>
      <c r="BV4" s="382" t="str">
        <f>$B$4</f>
        <v>All qualifications</v>
      </c>
      <c r="BW4" s="382"/>
      <c r="BX4" s="382"/>
      <c r="BY4" s="382"/>
      <c r="BZ4" s="382"/>
      <c r="CA4" s="102"/>
      <c r="CB4" s="382" t="str">
        <f>$H$4</f>
        <v>RQF8 Doctorate</v>
      </c>
      <c r="CC4" s="382"/>
      <c r="CD4" s="382"/>
      <c r="CE4" s="382"/>
      <c r="CF4" s="382"/>
      <c r="CH4" s="383" t="str">
        <f>$N$4</f>
        <v>RQF7 Other higher degree</v>
      </c>
      <c r="CI4" s="383"/>
      <c r="CJ4" s="383"/>
      <c r="CK4" s="383"/>
      <c r="CL4" s="383"/>
      <c r="CM4" s="110"/>
      <c r="CN4" s="383" t="str">
        <f>$T$4</f>
        <v>RQF6 First degree</v>
      </c>
      <c r="CO4" s="383"/>
      <c r="CP4" s="383"/>
      <c r="CQ4" s="383"/>
      <c r="CR4" s="383"/>
      <c r="CS4" s="95"/>
      <c r="CT4" s="382" t="str">
        <f>$B$4</f>
        <v>All qualifications</v>
      </c>
      <c r="CU4" s="382"/>
      <c r="CV4" s="382"/>
      <c r="CW4" s="382"/>
      <c r="CX4" s="382"/>
      <c r="CY4" s="102"/>
      <c r="CZ4" s="382" t="str">
        <f>$H$4</f>
        <v>RQF8 Doctorate</v>
      </c>
      <c r="DA4" s="382"/>
      <c r="DB4" s="382"/>
      <c r="DC4" s="382"/>
      <c r="DD4" s="382"/>
      <c r="DF4" s="383" t="str">
        <f>$N$4</f>
        <v>RQF7 Other higher degree</v>
      </c>
      <c r="DG4" s="383"/>
      <c r="DH4" s="383"/>
      <c r="DI4" s="383"/>
      <c r="DJ4" s="383"/>
      <c r="DK4" s="110"/>
      <c r="DL4" s="383" t="str">
        <f>$T$4</f>
        <v>RQF6 First degree</v>
      </c>
      <c r="DM4" s="383"/>
      <c r="DN4" s="383"/>
      <c r="DO4" s="383"/>
      <c r="DP4" s="383"/>
    </row>
    <row r="6" spans="1:120" s="101" customFormat="1" ht="37.299999999999997" x14ac:dyDescent="0.3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3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3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3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3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3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3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3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3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3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3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3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3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3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3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3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3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3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3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3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3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3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3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3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3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3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3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3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3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3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3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3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3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3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3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3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3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3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3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3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3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3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3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3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3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3">
      <c r="A52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B52" s="93"/>
      <c r="C52" s="93"/>
      <c r="D52" s="93"/>
      <c r="E52" s="93"/>
      <c r="F52" s="93"/>
      <c r="G52" s="93"/>
      <c r="Y52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Z52" s="93"/>
      <c r="AA52" s="93"/>
      <c r="AB52" s="93"/>
      <c r="AC52" s="93"/>
      <c r="AD52" s="93"/>
      <c r="AE52" s="93"/>
      <c r="AW52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AX52" s="93"/>
      <c r="AY52" s="93"/>
      <c r="AZ52" s="93"/>
      <c r="BA52" s="93"/>
      <c r="BB52" s="93"/>
      <c r="BC52" s="93"/>
      <c r="BU52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BV52" s="93"/>
      <c r="BW52" s="93"/>
      <c r="BX52" s="93"/>
      <c r="BY52" s="93"/>
      <c r="BZ52" s="93"/>
      <c r="CA52" s="93"/>
      <c r="CS52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CT52" s="93"/>
      <c r="CU52" s="93"/>
      <c r="CV52" s="93"/>
      <c r="CW52" s="93"/>
      <c r="CX52" s="93"/>
      <c r="CY52" s="93"/>
    </row>
    <row r="53" spans="1:120" ht="15.45" x14ac:dyDescent="0.4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3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3">
      <c r="B56" s="382" t="str">
        <f>B4</f>
        <v>All qualifications</v>
      </c>
      <c r="C56" s="382"/>
      <c r="D56" s="382"/>
      <c r="E56" s="382"/>
      <c r="F56" s="382"/>
      <c r="G56" s="113"/>
      <c r="H56" s="382" t="str">
        <f>H4</f>
        <v>RQF8 Doctorate</v>
      </c>
      <c r="I56" s="382"/>
      <c r="J56" s="382"/>
      <c r="K56" s="382"/>
      <c r="L56" s="382"/>
      <c r="M56" s="113"/>
      <c r="N56" s="383" t="str">
        <f>N4</f>
        <v>RQF7 Other higher degree</v>
      </c>
      <c r="O56" s="383"/>
      <c r="P56" s="383"/>
      <c r="Q56" s="383"/>
      <c r="R56" s="383"/>
      <c r="S56" s="110"/>
      <c r="T56" s="383" t="str">
        <f>T4</f>
        <v>RQF6 First degree</v>
      </c>
      <c r="U56" s="383"/>
      <c r="V56" s="383"/>
      <c r="W56" s="383"/>
      <c r="X56" s="383"/>
      <c r="Z56" s="382" t="str">
        <f>Z4</f>
        <v>All qualifications</v>
      </c>
      <c r="AA56" s="382"/>
      <c r="AB56" s="382"/>
      <c r="AC56" s="382"/>
      <c r="AD56" s="382"/>
      <c r="AE56" s="113"/>
      <c r="AF56" s="382" t="str">
        <f>AF4</f>
        <v>RQF8 Doctorate</v>
      </c>
      <c r="AG56" s="382"/>
      <c r="AH56" s="382"/>
      <c r="AI56" s="382"/>
      <c r="AJ56" s="382"/>
      <c r="AK56" s="113"/>
      <c r="AL56" s="383" t="str">
        <f>AL4</f>
        <v>RQF7 Other higher degree</v>
      </c>
      <c r="AM56" s="383"/>
      <c r="AN56" s="383"/>
      <c r="AO56" s="383"/>
      <c r="AP56" s="383"/>
      <c r="AQ56" s="110"/>
      <c r="AR56" s="383" t="str">
        <f>AR4</f>
        <v>RQF6 First degree</v>
      </c>
      <c r="AS56" s="383"/>
      <c r="AT56" s="383"/>
      <c r="AU56" s="383"/>
      <c r="AV56" s="383"/>
      <c r="AX56" s="382" t="str">
        <f>AX4</f>
        <v>All qualifications</v>
      </c>
      <c r="AY56" s="382"/>
      <c r="AZ56" s="382"/>
      <c r="BA56" s="382"/>
      <c r="BB56" s="382"/>
      <c r="BC56" s="113"/>
      <c r="BD56" s="382" t="str">
        <f>BD4</f>
        <v>RQF8 Doctorate</v>
      </c>
      <c r="BE56" s="382"/>
      <c r="BF56" s="382"/>
      <c r="BG56" s="382"/>
      <c r="BH56" s="382"/>
      <c r="BI56" s="113"/>
      <c r="BJ56" s="383" t="str">
        <f>BJ4</f>
        <v>RQF7 Other higher degree</v>
      </c>
      <c r="BK56" s="383"/>
      <c r="BL56" s="383"/>
      <c r="BM56" s="383"/>
      <c r="BN56" s="383"/>
      <c r="BO56" s="110"/>
      <c r="BP56" s="383" t="str">
        <f>BP4</f>
        <v>RQF6 First degree</v>
      </c>
      <c r="BQ56" s="383"/>
      <c r="BR56" s="383"/>
      <c r="BS56" s="383"/>
      <c r="BT56" s="383"/>
      <c r="BV56" s="382" t="str">
        <f>BV4</f>
        <v>All qualifications</v>
      </c>
      <c r="BW56" s="382"/>
      <c r="BX56" s="382"/>
      <c r="BY56" s="382"/>
      <c r="BZ56" s="382"/>
      <c r="CA56" s="113"/>
      <c r="CB56" s="382" t="str">
        <f>CB4</f>
        <v>RQF8 Doctorate</v>
      </c>
      <c r="CC56" s="382"/>
      <c r="CD56" s="382"/>
      <c r="CE56" s="382"/>
      <c r="CF56" s="382"/>
      <c r="CG56" s="113"/>
      <c r="CH56" s="383" t="str">
        <f>CH4</f>
        <v>RQF7 Other higher degree</v>
      </c>
      <c r="CI56" s="383"/>
      <c r="CJ56" s="383"/>
      <c r="CK56" s="383"/>
      <c r="CL56" s="383"/>
      <c r="CM56" s="110"/>
      <c r="CN56" s="383" t="str">
        <f>CN4</f>
        <v>RQF6 First degree</v>
      </c>
      <c r="CO56" s="383"/>
      <c r="CP56" s="383"/>
      <c r="CQ56" s="383"/>
      <c r="CR56" s="383"/>
      <c r="CT56" s="382" t="str">
        <f>CT4</f>
        <v>All qualifications</v>
      </c>
      <c r="CU56" s="382"/>
      <c r="CV56" s="382"/>
      <c r="CW56" s="382"/>
      <c r="CX56" s="382"/>
      <c r="CY56" s="113"/>
      <c r="CZ56" s="382" t="str">
        <f>CZ4</f>
        <v>RQF8 Doctorate</v>
      </c>
      <c r="DA56" s="382"/>
      <c r="DB56" s="382"/>
      <c r="DC56" s="382"/>
      <c r="DD56" s="382"/>
      <c r="DE56" s="113"/>
      <c r="DF56" s="383" t="str">
        <f>DF4</f>
        <v>RQF7 Other higher degree</v>
      </c>
      <c r="DG56" s="383"/>
      <c r="DH56" s="383"/>
      <c r="DI56" s="383"/>
      <c r="DJ56" s="383"/>
      <c r="DK56" s="110"/>
      <c r="DL56" s="383" t="str">
        <f>DL4</f>
        <v>RQF6 First degree</v>
      </c>
      <c r="DM56" s="383"/>
      <c r="DN56" s="383"/>
      <c r="DO56" s="383"/>
      <c r="DP56" s="383"/>
    </row>
    <row r="58" spans="1:120" ht="37.299999999999997" x14ac:dyDescent="0.3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3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3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3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3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3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3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3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3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3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3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3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3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3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3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3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3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3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3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3">
      <c r="A79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Y79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AW79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BU79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CS79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</row>
    <row r="80" spans="1:120" ht="15.45" x14ac:dyDescent="0.4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3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3">
      <c r="B83" s="382" t="str">
        <f>B4</f>
        <v>All qualifications</v>
      </c>
      <c r="C83" s="382"/>
      <c r="D83" s="382"/>
      <c r="E83" s="382"/>
      <c r="F83" s="382"/>
      <c r="G83" s="113"/>
      <c r="H83" s="382" t="str">
        <f>H4</f>
        <v>RQF8 Doctorate</v>
      </c>
      <c r="I83" s="382"/>
      <c r="J83" s="382"/>
      <c r="K83" s="382"/>
      <c r="L83" s="382"/>
      <c r="M83" s="113"/>
      <c r="N83" s="383" t="str">
        <f>N4</f>
        <v>RQF7 Other higher degree</v>
      </c>
      <c r="O83" s="383"/>
      <c r="P83" s="383"/>
      <c r="Q83" s="383"/>
      <c r="R83" s="383"/>
      <c r="S83" s="110"/>
      <c r="T83" s="383" t="str">
        <f>T4</f>
        <v>RQF6 First degree</v>
      </c>
      <c r="U83" s="383"/>
      <c r="V83" s="383"/>
      <c r="W83" s="383"/>
      <c r="X83" s="383"/>
      <c r="Z83" s="382" t="str">
        <f>Z4</f>
        <v>All qualifications</v>
      </c>
      <c r="AA83" s="382"/>
      <c r="AB83" s="382"/>
      <c r="AC83" s="382"/>
      <c r="AD83" s="382"/>
      <c r="AE83" s="113"/>
      <c r="AF83" s="382" t="str">
        <f>AF4</f>
        <v>RQF8 Doctorate</v>
      </c>
      <c r="AG83" s="382"/>
      <c r="AH83" s="382"/>
      <c r="AI83" s="382"/>
      <c r="AJ83" s="382"/>
      <c r="AK83" s="113"/>
      <c r="AL83" s="383" t="str">
        <f>AL4</f>
        <v>RQF7 Other higher degree</v>
      </c>
      <c r="AM83" s="383"/>
      <c r="AN83" s="383"/>
      <c r="AO83" s="383"/>
      <c r="AP83" s="383"/>
      <c r="AQ83" s="110"/>
      <c r="AR83" s="383" t="str">
        <f>AR4</f>
        <v>RQF6 First degree</v>
      </c>
      <c r="AS83" s="383"/>
      <c r="AT83" s="383"/>
      <c r="AU83" s="383"/>
      <c r="AV83" s="383"/>
      <c r="AX83" s="382" t="str">
        <f>AX4</f>
        <v>All qualifications</v>
      </c>
      <c r="AY83" s="382"/>
      <c r="AZ83" s="382"/>
      <c r="BA83" s="382"/>
      <c r="BB83" s="382"/>
      <c r="BC83" s="113"/>
      <c r="BD83" s="382" t="str">
        <f>BD4</f>
        <v>RQF8 Doctorate</v>
      </c>
      <c r="BE83" s="382"/>
      <c r="BF83" s="382"/>
      <c r="BG83" s="382"/>
      <c r="BH83" s="382"/>
      <c r="BI83" s="113"/>
      <c r="BJ83" s="383" t="str">
        <f>BJ4</f>
        <v>RQF7 Other higher degree</v>
      </c>
      <c r="BK83" s="383"/>
      <c r="BL83" s="383"/>
      <c r="BM83" s="383"/>
      <c r="BN83" s="383"/>
      <c r="BO83" s="110"/>
      <c r="BP83" s="383" t="str">
        <f>BP4</f>
        <v>RQF6 First degree</v>
      </c>
      <c r="BQ83" s="383"/>
      <c r="BR83" s="383"/>
      <c r="BS83" s="383"/>
      <c r="BT83" s="383"/>
      <c r="BV83" s="382" t="str">
        <f>BV4</f>
        <v>All qualifications</v>
      </c>
      <c r="BW83" s="382"/>
      <c r="BX83" s="382"/>
      <c r="BY83" s="382"/>
      <c r="BZ83" s="382"/>
      <c r="CA83" s="113"/>
      <c r="CB83" s="382" t="str">
        <f>CB4</f>
        <v>RQF8 Doctorate</v>
      </c>
      <c r="CC83" s="382"/>
      <c r="CD83" s="382"/>
      <c r="CE83" s="382"/>
      <c r="CF83" s="382"/>
      <c r="CG83" s="113"/>
      <c r="CH83" s="383" t="str">
        <f>CH4</f>
        <v>RQF7 Other higher degree</v>
      </c>
      <c r="CI83" s="383"/>
      <c r="CJ83" s="383"/>
      <c r="CK83" s="383"/>
      <c r="CL83" s="383"/>
      <c r="CM83" s="110"/>
      <c r="CN83" s="383" t="str">
        <f>CN4</f>
        <v>RQF6 First degree</v>
      </c>
      <c r="CO83" s="383"/>
      <c r="CP83" s="383"/>
      <c r="CQ83" s="383"/>
      <c r="CR83" s="383"/>
      <c r="CT83" s="382" t="str">
        <f>CT4</f>
        <v>All qualifications</v>
      </c>
      <c r="CU83" s="382"/>
      <c r="CV83" s="382"/>
      <c r="CW83" s="382"/>
      <c r="CX83" s="382"/>
      <c r="CY83" s="113"/>
      <c r="CZ83" s="382" t="str">
        <f>CZ4</f>
        <v>RQF8 Doctorate</v>
      </c>
      <c r="DA83" s="382"/>
      <c r="DB83" s="382"/>
      <c r="DC83" s="382"/>
      <c r="DD83" s="382"/>
      <c r="DE83" s="113"/>
      <c r="DF83" s="383" t="str">
        <f>DF4</f>
        <v>RQF7 Other higher degree</v>
      </c>
      <c r="DG83" s="383"/>
      <c r="DH83" s="383"/>
      <c r="DI83" s="383"/>
      <c r="DJ83" s="383"/>
      <c r="DK83" s="110"/>
      <c r="DL83" s="383" t="str">
        <f>DL4</f>
        <v>RQF6 First degree</v>
      </c>
      <c r="DM83" s="383"/>
      <c r="DN83" s="383"/>
      <c r="DO83" s="383"/>
      <c r="DP83" s="383"/>
    </row>
    <row r="85" spans="1:120" ht="37.299999999999997" x14ac:dyDescent="0.3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3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3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3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3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3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3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3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3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3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3">
      <c r="A96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Y96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AW96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BU96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  <c r="CS96" s="90" t="str">
        <f ca="1">CELL("filename")</f>
        <v>https://educationgovuk.sharepoint.com/sites/UnitforFutureSkills/Shared Documents/Research Projects/R007 Skills Imperative 2035 revised projections/Projections/Regional_national/Main tables/[EN_MainTables.Main.xlsm]Occ T2</v>
      </c>
    </row>
    <row r="99" spans="1:1" x14ac:dyDescent="0.3">
      <c r="A99" s="90" t="s">
        <v>45</v>
      </c>
    </row>
    <row r="100" spans="1:1" x14ac:dyDescent="0.3">
      <c r="A100" s="90">
        <v>2015</v>
      </c>
    </row>
    <row r="101" spans="1:1" x14ac:dyDescent="0.3">
      <c r="A101" s="90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5234375" defaultRowHeight="12.45" x14ac:dyDescent="0.3"/>
  <cols>
    <col min="1" max="1" width="50.69140625" style="129" customWidth="1"/>
    <col min="2" max="2" width="13" style="129" customWidth="1"/>
    <col min="3" max="3" width="9.69140625" style="129" customWidth="1"/>
    <col min="4" max="4" width="10.15234375" style="129" customWidth="1"/>
    <col min="5" max="5" width="13" style="129" customWidth="1"/>
    <col min="6" max="6" width="9.69140625" style="129" customWidth="1"/>
    <col min="7" max="7" width="3.69140625" style="129" customWidth="1"/>
    <col min="8" max="9" width="10.15234375" style="129" customWidth="1"/>
    <col min="10" max="10" width="3.69140625" style="129" customWidth="1"/>
    <col min="11" max="12" width="10.15234375" style="129" customWidth="1"/>
    <col min="13" max="13" width="3.69140625" style="129" customWidth="1"/>
    <col min="14" max="14" width="11.3828125" style="129" customWidth="1"/>
    <col min="15" max="15" width="10.15234375" style="129" customWidth="1"/>
    <col min="16" max="16" width="3.69140625" style="129" customWidth="1"/>
    <col min="17" max="18" width="10.15234375" style="129" customWidth="1"/>
    <col min="19" max="19" width="2.3828125" style="129" customWidth="1"/>
    <col min="20" max="22" width="13" style="129" customWidth="1"/>
    <col min="23" max="23" width="23.3046875" style="129" customWidth="1"/>
    <col min="24" max="24" width="9.15234375" style="129"/>
    <col min="25" max="25" width="12.3046875" style="129" customWidth="1"/>
    <col min="26" max="26" width="10.84375" style="129" customWidth="1"/>
    <col min="27" max="27" width="8.15234375" style="129" customWidth="1"/>
    <col min="28" max="28" width="8" style="129" customWidth="1"/>
    <col min="29" max="16384" width="9.15234375" style="129"/>
  </cols>
  <sheetData>
    <row r="1" spans="1:32" ht="12.75" customHeight="1" x14ac:dyDescent="0.3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5" t="s">
        <v>53</v>
      </c>
      <c r="L2" s="385"/>
      <c r="M2" s="385"/>
      <c r="N2" s="385"/>
      <c r="O2" s="385"/>
      <c r="P2" s="385"/>
      <c r="Q2" s="385"/>
      <c r="R2" s="385"/>
      <c r="S2" s="191"/>
      <c r="T2" s="191"/>
      <c r="U2" s="128"/>
    </row>
    <row r="3" spans="1:32" ht="12.75" customHeight="1" x14ac:dyDescent="0.3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6" t="s">
        <v>56</v>
      </c>
      <c r="L3" s="386"/>
      <c r="M3" s="127"/>
      <c r="N3" s="387" t="s">
        <v>69</v>
      </c>
      <c r="O3" s="387"/>
      <c r="P3" s="127"/>
      <c r="Q3" s="387" t="s">
        <v>68</v>
      </c>
      <c r="R3" s="387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3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3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3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3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3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3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3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3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3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3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3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3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3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3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3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3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3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3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3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3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3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3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3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3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3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3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3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3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3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3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3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3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3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3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3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3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3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3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3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3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3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3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3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3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3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3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3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3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3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3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3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3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3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3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3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3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3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3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3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3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3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3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3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3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3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3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3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3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3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3">
      <c r="A75" s="169" t="s">
        <v>73</v>
      </c>
      <c r="B75" s="170"/>
      <c r="C75" s="170"/>
      <c r="D75" s="170"/>
      <c r="E75" s="170"/>
    </row>
    <row r="76" spans="1:21" x14ac:dyDescent="0.3">
      <c r="A76" s="384" t="s">
        <v>74</v>
      </c>
      <c r="B76" s="384"/>
      <c r="C76" s="384"/>
      <c r="D76" s="384"/>
      <c r="E76" s="384"/>
      <c r="F76" s="384"/>
      <c r="G76" s="384"/>
      <c r="H76" s="384"/>
      <c r="I76" s="384"/>
      <c r="J76" s="384"/>
      <c r="K76" s="384"/>
      <c r="L76" s="384"/>
      <c r="M76" s="384"/>
      <c r="N76" s="384"/>
      <c r="O76" s="384"/>
      <c r="P76" s="384"/>
      <c r="Q76" s="384"/>
      <c r="R76" s="384"/>
    </row>
    <row r="77" spans="1:21" x14ac:dyDescent="0.3">
      <c r="A77" s="384" t="s">
        <v>75</v>
      </c>
      <c r="B77" s="384"/>
      <c r="C77" s="384"/>
      <c r="D77" s="384"/>
      <c r="E77" s="384"/>
      <c r="F77" s="384"/>
      <c r="G77" s="384"/>
      <c r="H77" s="384"/>
      <c r="I77" s="384"/>
      <c r="J77" s="384"/>
      <c r="K77" s="384"/>
      <c r="L77" s="384"/>
      <c r="M77" s="384"/>
      <c r="N77" s="384"/>
      <c r="O77" s="384"/>
      <c r="P77" s="384"/>
      <c r="Q77" s="384"/>
      <c r="R77" s="384"/>
    </row>
    <row r="78" spans="1:21" x14ac:dyDescent="0.3">
      <c r="A78" s="384" t="s">
        <v>76</v>
      </c>
      <c r="B78" s="384"/>
      <c r="C78" s="384"/>
      <c r="D78" s="384"/>
      <c r="E78" s="384"/>
      <c r="F78" s="384"/>
      <c r="G78" s="384"/>
      <c r="H78" s="384"/>
      <c r="I78" s="384"/>
      <c r="J78" s="384"/>
      <c r="K78" s="384"/>
      <c r="L78" s="384"/>
      <c r="M78" s="384"/>
      <c r="N78" s="384"/>
      <c r="O78" s="384"/>
      <c r="P78" s="384"/>
      <c r="Q78" s="384"/>
      <c r="R78" s="384"/>
    </row>
    <row r="79" spans="1:21" x14ac:dyDescent="0.3">
      <c r="A79" s="384" t="s">
        <v>77</v>
      </c>
      <c r="B79" s="384"/>
      <c r="C79" s="384"/>
      <c r="D79" s="384"/>
      <c r="E79" s="384"/>
      <c r="F79" s="384"/>
      <c r="G79" s="384"/>
      <c r="H79" s="384"/>
      <c r="I79" s="384"/>
      <c r="J79" s="384"/>
      <c r="K79" s="384"/>
      <c r="L79" s="384"/>
      <c r="M79" s="384"/>
      <c r="N79" s="384"/>
      <c r="O79" s="384"/>
      <c r="P79" s="384"/>
      <c r="Q79" s="384"/>
      <c r="R79" s="384"/>
    </row>
    <row r="80" spans="1:21" x14ac:dyDescent="0.3">
      <c r="A80" s="384" t="s">
        <v>78</v>
      </c>
      <c r="B80" s="384"/>
      <c r="C80" s="384"/>
      <c r="D80" s="384"/>
      <c r="E80" s="384"/>
      <c r="F80" s="384"/>
      <c r="G80" s="384"/>
      <c r="H80" s="384"/>
      <c r="I80" s="384"/>
      <c r="J80" s="384"/>
      <c r="K80" s="384"/>
      <c r="L80" s="384"/>
      <c r="M80" s="384"/>
      <c r="N80" s="384"/>
      <c r="O80" s="384"/>
      <c r="P80" s="384"/>
      <c r="Q80" s="384"/>
      <c r="R80" s="384"/>
    </row>
    <row r="81" spans="1:18" x14ac:dyDescent="0.3">
      <c r="A81" s="384" t="s">
        <v>79</v>
      </c>
      <c r="B81" s="384"/>
      <c r="C81" s="384"/>
      <c r="D81" s="384"/>
      <c r="E81" s="384"/>
      <c r="F81" s="384"/>
      <c r="G81" s="384"/>
      <c r="H81" s="384"/>
      <c r="I81" s="384"/>
      <c r="J81" s="384"/>
      <c r="K81" s="384"/>
      <c r="L81" s="384"/>
      <c r="M81" s="384"/>
      <c r="N81" s="384"/>
      <c r="O81" s="384"/>
      <c r="P81" s="384"/>
      <c r="Q81" s="384"/>
      <c r="R81" s="384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5234375" defaultRowHeight="12.45" x14ac:dyDescent="0.3"/>
  <cols>
    <col min="1" max="1" width="18.15234375" style="90" customWidth="1"/>
    <col min="2" max="6" width="7.69140625" style="90" customWidth="1"/>
    <col min="7" max="7" width="3.53515625" style="90" customWidth="1"/>
    <col min="8" max="12" width="7.69140625" style="90" customWidth="1"/>
    <col min="13" max="13" width="3.53515625" style="90" customWidth="1"/>
    <col min="14" max="18" width="7.69140625" style="90" customWidth="1"/>
    <col min="19" max="19" width="3.53515625" style="90" customWidth="1"/>
    <col min="20" max="24" width="7.69140625" style="90" customWidth="1"/>
    <col min="25" max="16384" width="9.15234375" style="90"/>
  </cols>
  <sheetData>
    <row r="1" spans="1:60" ht="15.45" x14ac:dyDescent="0.4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2" t="s">
        <v>13</v>
      </c>
      <c r="X2" s="382"/>
      <c r="AP2" s="120" t="s">
        <v>13</v>
      </c>
      <c r="BH2" s="120" t="s">
        <v>13</v>
      </c>
    </row>
    <row r="3" spans="1:60" x14ac:dyDescent="0.3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8" t="s">
        <v>48</v>
      </c>
      <c r="U3" s="388"/>
      <c r="V3" s="388"/>
      <c r="W3" s="388"/>
      <c r="X3" s="388"/>
      <c r="Y3" s="117" t="s">
        <v>101</v>
      </c>
      <c r="Z3" s="388" t="s">
        <v>119</v>
      </c>
      <c r="AA3" s="388"/>
      <c r="AB3" s="388"/>
      <c r="AC3" s="388"/>
      <c r="AD3" s="388"/>
      <c r="AE3" s="117"/>
      <c r="AF3" s="183" t="s">
        <v>49</v>
      </c>
      <c r="AG3" s="183"/>
      <c r="AH3" s="183"/>
      <c r="AI3" s="183"/>
      <c r="AJ3" s="183"/>
      <c r="AK3" s="117"/>
      <c r="AL3" s="388" t="s">
        <v>50</v>
      </c>
      <c r="AM3" s="388"/>
      <c r="AN3" s="388"/>
      <c r="AO3" s="388"/>
      <c r="AP3" s="388"/>
      <c r="AQ3" s="117" t="s">
        <v>101</v>
      </c>
      <c r="AR3" s="388" t="s">
        <v>120</v>
      </c>
      <c r="AS3" s="388"/>
      <c r="AT3" s="388"/>
      <c r="AU3" s="388"/>
      <c r="AV3" s="388"/>
      <c r="AW3" s="117"/>
      <c r="AX3" s="183" t="s">
        <v>51</v>
      </c>
      <c r="AY3" s="183"/>
      <c r="AZ3" s="183"/>
      <c r="BA3" s="183"/>
      <c r="BB3" s="183"/>
      <c r="BC3" s="117"/>
      <c r="BD3" s="388" t="s">
        <v>52</v>
      </c>
      <c r="BE3" s="388"/>
      <c r="BF3" s="388"/>
      <c r="BG3" s="388"/>
      <c r="BH3" s="388"/>
    </row>
    <row r="4" spans="1:60" x14ac:dyDescent="0.3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3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3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3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3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3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3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3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3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3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3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3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3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3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3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3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3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3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3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3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3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3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3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3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3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3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3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3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3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3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3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3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3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3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3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3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3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3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3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3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3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3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3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3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3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45" x14ac:dyDescent="0.4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2" t="s">
        <v>13</v>
      </c>
      <c r="X50" s="382"/>
      <c r="AP50" s="182" t="str">
        <f>AP2</f>
        <v>Levels (000s)</v>
      </c>
      <c r="BH50" s="182" t="str">
        <f>BH2</f>
        <v>Levels (000s)</v>
      </c>
    </row>
    <row r="51" spans="1:60" x14ac:dyDescent="0.3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8" t="str">
        <f>T3</f>
        <v>Lower secondary education (2nd stage basic)</v>
      </c>
      <c r="U51" s="388"/>
      <c r="V51" s="388"/>
      <c r="W51" s="388"/>
      <c r="X51" s="388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3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3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3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3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3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3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3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3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3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3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3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3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3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3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3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3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3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3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3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3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3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3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3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3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3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3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3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3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3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3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3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3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3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3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3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3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3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3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3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3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3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3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3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3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3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45" x14ac:dyDescent="0.3"/>
  <cols>
    <col min="1" max="3" width="26.69140625" customWidth="1"/>
    <col min="4" max="4" width="46.53515625" customWidth="1"/>
    <col min="5" max="5" width="36.3046875" customWidth="1"/>
    <col min="6" max="7" width="34.69140625" customWidth="1"/>
    <col min="8" max="8" width="6.15234375" customWidth="1"/>
    <col min="9" max="9" width="20.3046875" customWidth="1"/>
    <col min="10" max="10" width="4.84375" customWidth="1"/>
    <col min="11" max="11" width="24.69140625" customWidth="1"/>
    <col min="12" max="12" width="9.15234375" customWidth="1"/>
  </cols>
  <sheetData>
    <row r="1" spans="1:12" x14ac:dyDescent="0.3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3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3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3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3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3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3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3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3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3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3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3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3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3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3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3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3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3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3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3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3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3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3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3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3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3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3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3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3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3">
      <c r="A30" s="10" t="s">
        <v>268</v>
      </c>
      <c r="C30" t="s">
        <v>11</v>
      </c>
      <c r="E30" t="s">
        <v>11</v>
      </c>
    </row>
    <row r="31" spans="1:9" x14ac:dyDescent="0.3">
      <c r="A31" s="10" t="s">
        <v>2</v>
      </c>
      <c r="C31" t="s">
        <v>11</v>
      </c>
      <c r="D31" t="s">
        <v>11</v>
      </c>
      <c r="E31" t="s">
        <v>11</v>
      </c>
    </row>
    <row r="32" spans="1:9" x14ac:dyDescent="0.3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3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3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3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3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3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3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3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3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3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3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3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3">
      <c r="A44" s="10" t="s">
        <v>134</v>
      </c>
      <c r="D44" t="s">
        <v>11</v>
      </c>
      <c r="E44" t="s">
        <v>11</v>
      </c>
    </row>
    <row r="45" spans="1:9" x14ac:dyDescent="0.3">
      <c r="A45" s="10" t="s">
        <v>277</v>
      </c>
    </row>
    <row r="46" spans="1:9" x14ac:dyDescent="0.3">
      <c r="A46" s="10" t="s">
        <v>278</v>
      </c>
      <c r="I46" s="82"/>
    </row>
    <row r="47" spans="1:9" x14ac:dyDescent="0.3">
      <c r="A47" s="10" t="s">
        <v>85</v>
      </c>
    </row>
    <row r="48" spans="1:9" x14ac:dyDescent="0.3">
      <c r="A48" s="10" t="s">
        <v>279</v>
      </c>
    </row>
    <row r="49" spans="1:9" x14ac:dyDescent="0.3">
      <c r="A49" s="10" t="s">
        <v>280</v>
      </c>
    </row>
    <row r="50" spans="1:9" x14ac:dyDescent="0.3">
      <c r="A50" s="10" t="s">
        <v>281</v>
      </c>
    </row>
    <row r="51" spans="1:9" x14ac:dyDescent="0.3">
      <c r="A51" s="10" t="s">
        <v>282</v>
      </c>
      <c r="I51" s="82"/>
    </row>
    <row r="52" spans="1:9" x14ac:dyDescent="0.3">
      <c r="A52" s="10" t="s">
        <v>283</v>
      </c>
    </row>
    <row r="53" spans="1:9" x14ac:dyDescent="0.3">
      <c r="A53" s="10" t="s">
        <v>284</v>
      </c>
    </row>
    <row r="54" spans="1:9" x14ac:dyDescent="0.3">
      <c r="A54" s="10" t="s">
        <v>285</v>
      </c>
    </row>
    <row r="55" spans="1:9" x14ac:dyDescent="0.3">
      <c r="A55" s="10" t="s">
        <v>286</v>
      </c>
    </row>
    <row r="56" spans="1:9" x14ac:dyDescent="0.3">
      <c r="A56" s="10" t="s">
        <v>287</v>
      </c>
      <c r="I56" s="82"/>
    </row>
    <row r="57" spans="1:9" x14ac:dyDescent="0.3">
      <c r="A57" s="10" t="s">
        <v>135</v>
      </c>
    </row>
    <row r="58" spans="1:9" x14ac:dyDescent="0.3">
      <c r="A58" s="10" t="s">
        <v>288</v>
      </c>
    </row>
    <row r="59" spans="1:9" x14ac:dyDescent="0.3">
      <c r="A59" s="10" t="s">
        <v>289</v>
      </c>
    </row>
    <row r="60" spans="1:9" x14ac:dyDescent="0.3">
      <c r="A60" s="10" t="s">
        <v>290</v>
      </c>
    </row>
    <row r="61" spans="1:9" x14ac:dyDescent="0.3">
      <c r="A61" s="10" t="s">
        <v>291</v>
      </c>
    </row>
    <row r="62" spans="1:9" x14ac:dyDescent="0.3">
      <c r="A62" s="10" t="s">
        <v>136</v>
      </c>
    </row>
    <row r="63" spans="1:9" x14ac:dyDescent="0.3">
      <c r="A63" s="10" t="s">
        <v>292</v>
      </c>
    </row>
    <row r="64" spans="1:9" x14ac:dyDescent="0.3">
      <c r="A64" s="10" t="s">
        <v>293</v>
      </c>
    </row>
    <row r="65" spans="1:9" x14ac:dyDescent="0.3">
      <c r="A65" s="10" t="s">
        <v>294</v>
      </c>
      <c r="I65" s="82"/>
    </row>
    <row r="66" spans="1:9" x14ac:dyDescent="0.3">
      <c r="A66" s="10" t="s">
        <v>295</v>
      </c>
    </row>
    <row r="67" spans="1:9" x14ac:dyDescent="0.3">
      <c r="A67" s="10" t="s">
        <v>296</v>
      </c>
    </row>
    <row r="68" spans="1:9" x14ac:dyDescent="0.3">
      <c r="A68" s="10" t="s">
        <v>297</v>
      </c>
    </row>
    <row r="69" spans="1:9" x14ac:dyDescent="0.3">
      <c r="A69" s="10" t="s">
        <v>86</v>
      </c>
    </row>
    <row r="70" spans="1:9" x14ac:dyDescent="0.3">
      <c r="A70" s="10" t="s">
        <v>298</v>
      </c>
    </row>
    <row r="71" spans="1:9" x14ac:dyDescent="0.3">
      <c r="A71" s="10" t="s">
        <v>299</v>
      </c>
      <c r="I71" s="82"/>
    </row>
    <row r="72" spans="1:9" x14ac:dyDescent="0.3">
      <c r="A72" s="10" t="s">
        <v>87</v>
      </c>
    </row>
    <row r="73" spans="1:9" x14ac:dyDescent="0.3">
      <c r="A73" s="10" t="s">
        <v>300</v>
      </c>
    </row>
    <row r="74" spans="1:9" x14ac:dyDescent="0.3">
      <c r="A74" s="10" t="s">
        <v>301</v>
      </c>
      <c r="I74" s="82"/>
    </row>
    <row r="75" spans="1:9" x14ac:dyDescent="0.3">
      <c r="A75" s="10" t="s">
        <v>302</v>
      </c>
    </row>
    <row r="76" spans="1:9" x14ac:dyDescent="0.3">
      <c r="A76" s="10" t="s">
        <v>303</v>
      </c>
    </row>
    <row r="77" spans="1:9" x14ac:dyDescent="0.3">
      <c r="A77" s="10" t="s">
        <v>304</v>
      </c>
    </row>
    <row r="78" spans="1:9" x14ac:dyDescent="0.3">
      <c r="A78" s="10" t="s">
        <v>305</v>
      </c>
    </row>
    <row r="81" spans="9:9" x14ac:dyDescent="0.3">
      <c r="I81" s="82"/>
    </row>
    <row r="85" spans="9:9" x14ac:dyDescent="0.3">
      <c r="I85" s="82"/>
    </row>
    <row r="91" spans="9:9" x14ac:dyDescent="0.3">
      <c r="I91" s="82"/>
    </row>
    <row r="96" spans="9:9" x14ac:dyDescent="0.3">
      <c r="I96" s="82"/>
    </row>
    <row r="101" spans="9:9" x14ac:dyDescent="0.3">
      <c r="I101" s="82"/>
    </row>
    <row r="106" spans="9:9" x14ac:dyDescent="0.3">
      <c r="I106" s="82"/>
    </row>
    <row r="111" spans="9:9" x14ac:dyDescent="0.3">
      <c r="I111" s="82"/>
    </row>
    <row r="119" spans="9:9" x14ac:dyDescent="0.3">
      <c r="I119" s="82"/>
    </row>
    <row r="129" spans="9:9" x14ac:dyDescent="0.3">
      <c r="I129" s="82"/>
    </row>
    <row r="134" spans="9:9" x14ac:dyDescent="0.3">
      <c r="I134" s="82"/>
    </row>
    <row r="141" spans="9:9" x14ac:dyDescent="0.3">
      <c r="I141" s="82"/>
    </row>
    <row r="143" spans="9:9" x14ac:dyDescent="0.3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45" x14ac:dyDescent="0.3"/>
  <cols>
    <col min="1" max="1" width="27.53515625" customWidth="1"/>
    <col min="2" max="145" width="3" customWidth="1"/>
  </cols>
  <sheetData>
    <row r="1" spans="1:82" x14ac:dyDescent="0.3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3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3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3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3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3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3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3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3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3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3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3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3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3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3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3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3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3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3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3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3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3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3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2.9" thickBot="1" x14ac:dyDescent="0.3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3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2.9" thickBot="1" x14ac:dyDescent="0.35">
      <c r="A27" s="1" t="str">
        <f>CONCATENATE("Aggregation 75 industries to 6 ",name!C2)</f>
        <v>Aggregation 75 industries to 6 Industry sectors</v>
      </c>
    </row>
    <row r="28" spans="1:77" x14ac:dyDescent="0.3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3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3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3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3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2.9" thickBot="1" x14ac:dyDescent="0.3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3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3">
      <c r="A36" s="1" t="s">
        <v>508</v>
      </c>
    </row>
    <row r="37" spans="1:77" ht="120" customHeight="1" thickBot="1" x14ac:dyDescent="0.3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3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3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3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3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3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3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3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3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2.9" thickBot="1" x14ac:dyDescent="0.3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3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3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3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3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3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3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3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3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2.9" thickBot="1" x14ac:dyDescent="0.3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3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3">
      <c r="A58" s="10"/>
    </row>
    <row r="59" spans="1:11" x14ac:dyDescent="0.3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3046875" defaultRowHeight="12.45" x14ac:dyDescent="0.3"/>
  <cols>
    <col min="1" max="1" width="4.15234375" style="88" customWidth="1"/>
    <col min="2" max="2" width="55.69140625" style="88" customWidth="1"/>
    <col min="3" max="3" width="5.84375" style="88" customWidth="1"/>
    <col min="4" max="4" width="65.69140625" style="88" customWidth="1"/>
    <col min="5" max="16384" width="10.3046875" style="88"/>
  </cols>
  <sheetData>
    <row r="1" spans="1:4" x14ac:dyDescent="0.3">
      <c r="A1" s="14" t="s">
        <v>160</v>
      </c>
    </row>
    <row r="3" spans="1:4" x14ac:dyDescent="0.3">
      <c r="A3" s="125"/>
      <c r="B3" s="125" t="s">
        <v>348</v>
      </c>
      <c r="C3" s="125"/>
      <c r="D3" s="125" t="s">
        <v>349</v>
      </c>
    </row>
    <row r="4" spans="1:4" x14ac:dyDescent="0.3">
      <c r="A4" s="125"/>
      <c r="B4" s="125"/>
      <c r="C4" s="125"/>
      <c r="D4" s="125"/>
    </row>
    <row r="5" spans="1:4" x14ac:dyDescent="0.3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3">
      <c r="A6" s="125"/>
      <c r="B6" s="125"/>
      <c r="C6" s="125"/>
      <c r="D6" s="125"/>
    </row>
    <row r="7" spans="1:4" x14ac:dyDescent="0.3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3">
      <c r="A8" s="125"/>
      <c r="B8" s="125"/>
      <c r="C8" s="125"/>
      <c r="D8" s="125"/>
    </row>
    <row r="9" spans="1:4" x14ac:dyDescent="0.3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3">
      <c r="A10" s="125"/>
      <c r="B10" s="125"/>
      <c r="C10" s="125">
        <v>4</v>
      </c>
      <c r="D10" s="125" t="s">
        <v>166</v>
      </c>
    </row>
    <row r="11" spans="1:4" x14ac:dyDescent="0.3">
      <c r="A11" s="125"/>
      <c r="B11" s="125"/>
      <c r="C11" s="125"/>
      <c r="D11" s="125"/>
    </row>
    <row r="12" spans="1:4" x14ac:dyDescent="0.3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3">
      <c r="A13" s="125"/>
      <c r="B13" s="125"/>
      <c r="C13" s="125">
        <v>17</v>
      </c>
      <c r="D13" s="125" t="s">
        <v>89</v>
      </c>
    </row>
    <row r="14" spans="1:4" x14ac:dyDescent="0.3">
      <c r="A14" s="125"/>
      <c r="B14" s="125"/>
      <c r="C14" s="125">
        <v>18</v>
      </c>
      <c r="D14" s="125" t="s">
        <v>168</v>
      </c>
    </row>
    <row r="15" spans="1:4" x14ac:dyDescent="0.3">
      <c r="A15" s="125"/>
      <c r="B15" s="125"/>
      <c r="C15" s="125"/>
      <c r="D15" s="125"/>
    </row>
    <row r="16" spans="1:4" x14ac:dyDescent="0.3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3">
      <c r="A17" s="125"/>
      <c r="B17" s="125"/>
      <c r="C17" s="125">
        <v>6</v>
      </c>
      <c r="D17" s="125" t="s">
        <v>170</v>
      </c>
    </row>
    <row r="18" spans="1:4" x14ac:dyDescent="0.3">
      <c r="A18" s="125"/>
      <c r="B18" s="125"/>
      <c r="C18" s="125">
        <v>7</v>
      </c>
      <c r="D18" s="125" t="s">
        <v>171</v>
      </c>
    </row>
    <row r="19" spans="1:4" x14ac:dyDescent="0.3">
      <c r="A19" s="125"/>
      <c r="B19" s="125"/>
      <c r="C19" s="125">
        <v>8</v>
      </c>
      <c r="D19" s="125" t="s">
        <v>172</v>
      </c>
    </row>
    <row r="20" spans="1:4" x14ac:dyDescent="0.3">
      <c r="A20" s="125"/>
      <c r="B20" s="125"/>
      <c r="C20" s="125">
        <v>9</v>
      </c>
      <c r="D20" s="125" t="s">
        <v>173</v>
      </c>
    </row>
    <row r="21" spans="1:4" x14ac:dyDescent="0.3">
      <c r="A21" s="125"/>
      <c r="B21" s="125"/>
      <c r="C21" s="125">
        <v>10</v>
      </c>
      <c r="D21" s="125" t="s">
        <v>174</v>
      </c>
    </row>
    <row r="22" spans="1:4" x14ac:dyDescent="0.3">
      <c r="A22" s="125"/>
      <c r="B22" s="125"/>
      <c r="C22" s="125">
        <v>11</v>
      </c>
      <c r="D22" s="125" t="s">
        <v>64</v>
      </c>
    </row>
    <row r="23" spans="1:4" x14ac:dyDescent="0.3">
      <c r="A23" s="125"/>
      <c r="B23" s="125"/>
      <c r="C23" s="125">
        <v>12</v>
      </c>
      <c r="D23" s="125" t="s">
        <v>175</v>
      </c>
    </row>
    <row r="24" spans="1:4" x14ac:dyDescent="0.3">
      <c r="A24" s="125"/>
      <c r="B24" s="125"/>
      <c r="C24" s="125">
        <v>13</v>
      </c>
      <c r="D24" s="125" t="s">
        <v>176</v>
      </c>
    </row>
    <row r="25" spans="1:4" x14ac:dyDescent="0.3">
      <c r="A25" s="125"/>
      <c r="B25" s="125"/>
      <c r="C25" s="125">
        <v>14</v>
      </c>
      <c r="D25" s="125" t="s">
        <v>122</v>
      </c>
    </row>
    <row r="26" spans="1:4" x14ac:dyDescent="0.3">
      <c r="A26" s="125"/>
      <c r="B26" s="125"/>
      <c r="C26" s="125">
        <v>15</v>
      </c>
      <c r="D26" s="125" t="s">
        <v>123</v>
      </c>
    </row>
    <row r="27" spans="1:4" x14ac:dyDescent="0.3">
      <c r="A27" s="125"/>
      <c r="B27" s="125"/>
      <c r="C27" s="125">
        <v>19</v>
      </c>
      <c r="D27" s="125" t="s">
        <v>177</v>
      </c>
    </row>
    <row r="28" spans="1:4" x14ac:dyDescent="0.3">
      <c r="A28" s="125"/>
      <c r="B28" s="125"/>
      <c r="C28" s="125">
        <v>20</v>
      </c>
      <c r="D28" s="125" t="s">
        <v>178</v>
      </c>
    </row>
    <row r="29" spans="1:4" x14ac:dyDescent="0.3">
      <c r="A29" s="125"/>
      <c r="B29" s="125"/>
      <c r="C29" s="125">
        <v>21</v>
      </c>
      <c r="D29" s="125" t="s">
        <v>179</v>
      </c>
    </row>
    <row r="30" spans="1:4" x14ac:dyDescent="0.3">
      <c r="A30" s="125"/>
      <c r="B30" s="125"/>
      <c r="C30" s="125">
        <v>22</v>
      </c>
      <c r="D30" s="125" t="s">
        <v>180</v>
      </c>
    </row>
    <row r="31" spans="1:4" x14ac:dyDescent="0.3">
      <c r="A31" s="125"/>
      <c r="B31" s="125"/>
      <c r="C31" s="125">
        <v>23</v>
      </c>
      <c r="D31" s="125" t="s">
        <v>181</v>
      </c>
    </row>
    <row r="32" spans="1:4" x14ac:dyDescent="0.3">
      <c r="A32" s="125"/>
      <c r="B32" s="125"/>
      <c r="C32" s="125"/>
      <c r="D32" s="125"/>
    </row>
    <row r="33" spans="1:4" x14ac:dyDescent="0.3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3">
      <c r="A34" s="125"/>
      <c r="B34" s="125"/>
      <c r="C34" s="125"/>
      <c r="D34" s="125"/>
    </row>
    <row r="35" spans="1:4" x14ac:dyDescent="0.3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3">
      <c r="A36" s="125"/>
      <c r="B36" s="125"/>
      <c r="C36" s="125">
        <v>26</v>
      </c>
      <c r="D36" s="125" t="s">
        <v>186</v>
      </c>
    </row>
    <row r="37" spans="1:4" x14ac:dyDescent="0.3">
      <c r="A37" s="125"/>
      <c r="B37" s="125"/>
      <c r="C37" s="125">
        <v>27</v>
      </c>
      <c r="D37" s="125" t="s">
        <v>187</v>
      </c>
    </row>
    <row r="38" spans="1:4" x14ac:dyDescent="0.3">
      <c r="A38" s="125"/>
      <c r="B38" s="125"/>
      <c r="C38" s="125"/>
      <c r="D38" s="125"/>
    </row>
    <row r="39" spans="1:4" x14ac:dyDescent="0.3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3">
      <c r="A40" s="125"/>
      <c r="B40" s="125"/>
      <c r="C40" s="125">
        <v>29</v>
      </c>
      <c r="D40" s="125" t="s">
        <v>189</v>
      </c>
    </row>
    <row r="41" spans="1:4" x14ac:dyDescent="0.3">
      <c r="A41" s="125"/>
      <c r="B41" s="125"/>
      <c r="C41" s="125">
        <v>30</v>
      </c>
      <c r="D41" s="125" t="s">
        <v>190</v>
      </c>
    </row>
    <row r="42" spans="1:4" x14ac:dyDescent="0.3">
      <c r="A42" s="125"/>
      <c r="B42" s="125"/>
      <c r="C42" s="125"/>
      <c r="D42" s="125"/>
    </row>
    <row r="43" spans="1:4" x14ac:dyDescent="0.3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3">
      <c r="A44" s="125"/>
      <c r="B44" s="125"/>
      <c r="C44" s="125">
        <v>32</v>
      </c>
      <c r="D44" s="125" t="s">
        <v>192</v>
      </c>
    </row>
    <row r="45" spans="1:4" x14ac:dyDescent="0.3">
      <c r="A45" s="125"/>
      <c r="B45" s="125"/>
      <c r="C45" s="125">
        <v>33</v>
      </c>
      <c r="D45" s="125" t="s">
        <v>193</v>
      </c>
    </row>
    <row r="46" spans="1:4" x14ac:dyDescent="0.3">
      <c r="A46" s="125"/>
      <c r="B46" s="125"/>
      <c r="C46" s="125"/>
      <c r="D46" s="125"/>
    </row>
    <row r="47" spans="1:4" x14ac:dyDescent="0.3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3">
      <c r="A48" s="125"/>
      <c r="B48" s="125"/>
      <c r="C48" s="125">
        <v>35</v>
      </c>
      <c r="D48" s="125" t="s">
        <v>196</v>
      </c>
    </row>
    <row r="49" spans="1:4" x14ac:dyDescent="0.3">
      <c r="A49" s="125"/>
      <c r="B49" s="125"/>
      <c r="C49" s="125">
        <v>36</v>
      </c>
      <c r="D49" s="125" t="s">
        <v>197</v>
      </c>
    </row>
    <row r="50" spans="1:4" x14ac:dyDescent="0.3">
      <c r="A50" s="125"/>
      <c r="B50" s="125"/>
      <c r="C50" s="125">
        <v>37</v>
      </c>
      <c r="D50" s="125" t="s">
        <v>198</v>
      </c>
    </row>
    <row r="51" spans="1:4" x14ac:dyDescent="0.3">
      <c r="A51" s="125"/>
      <c r="B51" s="125"/>
      <c r="C51" s="125">
        <v>38</v>
      </c>
      <c r="D51" s="125" t="s">
        <v>199</v>
      </c>
    </row>
    <row r="52" spans="1:4" x14ac:dyDescent="0.3">
      <c r="A52" s="125"/>
      <c r="B52" s="125"/>
      <c r="C52" s="125"/>
      <c r="D52" s="125"/>
    </row>
    <row r="53" spans="1:4" x14ac:dyDescent="0.3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3">
      <c r="A54" s="125"/>
      <c r="B54" s="125"/>
      <c r="C54" s="125">
        <v>40</v>
      </c>
      <c r="D54" s="125" t="s">
        <v>202</v>
      </c>
    </row>
    <row r="55" spans="1:4" x14ac:dyDescent="0.3">
      <c r="A55" s="125"/>
      <c r="B55" s="125"/>
      <c r="C55" s="125"/>
      <c r="D55" s="125"/>
    </row>
    <row r="56" spans="1:4" x14ac:dyDescent="0.3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3">
      <c r="A57" s="125"/>
      <c r="B57" s="125"/>
      <c r="C57" s="125">
        <v>42</v>
      </c>
      <c r="D57" s="125" t="s">
        <v>203</v>
      </c>
    </row>
    <row r="58" spans="1:4" x14ac:dyDescent="0.3">
      <c r="A58" s="125"/>
      <c r="B58" s="125"/>
      <c r="C58" s="125">
        <v>43</v>
      </c>
      <c r="D58" s="125" t="s">
        <v>204</v>
      </c>
    </row>
    <row r="59" spans="1:4" x14ac:dyDescent="0.3">
      <c r="A59" s="125"/>
      <c r="B59" s="125"/>
      <c r="C59" s="125"/>
      <c r="D59" s="125"/>
    </row>
    <row r="60" spans="1:4" x14ac:dyDescent="0.3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3">
      <c r="A61" s="125"/>
      <c r="B61" s="125"/>
      <c r="C61" s="125">
        <v>45</v>
      </c>
      <c r="D61" s="125" t="s">
        <v>206</v>
      </c>
    </row>
    <row r="62" spans="1:4" x14ac:dyDescent="0.3">
      <c r="A62" s="125"/>
      <c r="B62" s="125"/>
      <c r="C62" s="125">
        <v>46</v>
      </c>
      <c r="D62" s="125" t="s">
        <v>207</v>
      </c>
    </row>
    <row r="63" spans="1:4" x14ac:dyDescent="0.3">
      <c r="A63" s="125"/>
      <c r="B63" s="125"/>
      <c r="C63" s="125"/>
      <c r="D63" s="125"/>
    </row>
    <row r="64" spans="1:4" x14ac:dyDescent="0.3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3">
      <c r="A65" s="125"/>
      <c r="B65" s="125"/>
      <c r="C65" s="125">
        <v>48</v>
      </c>
      <c r="D65" s="125" t="s">
        <v>209</v>
      </c>
    </row>
    <row r="66" spans="1:4" x14ac:dyDescent="0.3">
      <c r="A66" s="125"/>
      <c r="B66" s="125"/>
      <c r="C66" s="125">
        <v>49</v>
      </c>
      <c r="D66" s="125" t="s">
        <v>210</v>
      </c>
    </row>
    <row r="67" spans="1:4" x14ac:dyDescent="0.3">
      <c r="A67" s="125"/>
      <c r="B67" s="125"/>
      <c r="C67" s="125"/>
      <c r="D67" s="125"/>
    </row>
    <row r="68" spans="1:4" x14ac:dyDescent="0.3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3">
      <c r="A69" s="125"/>
      <c r="B69" s="125"/>
      <c r="C69" s="125"/>
      <c r="D69" s="125"/>
    </row>
    <row r="70" spans="1:4" x14ac:dyDescent="0.3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3">
      <c r="A71" s="125"/>
      <c r="B71" s="125"/>
      <c r="C71" s="125">
        <v>52</v>
      </c>
      <c r="D71" s="125" t="s">
        <v>214</v>
      </c>
    </row>
    <row r="72" spans="1:4" x14ac:dyDescent="0.3">
      <c r="A72" s="125"/>
      <c r="B72" s="125"/>
      <c r="C72" s="125">
        <v>53</v>
      </c>
      <c r="D72" s="125" t="s">
        <v>215</v>
      </c>
    </row>
    <row r="73" spans="1:4" x14ac:dyDescent="0.3">
      <c r="A73" s="125"/>
      <c r="B73" s="125"/>
      <c r="C73" s="125">
        <v>54</v>
      </c>
      <c r="D73" s="125" t="s">
        <v>216</v>
      </c>
    </row>
    <row r="74" spans="1:4" x14ac:dyDescent="0.3">
      <c r="A74" s="125"/>
      <c r="B74" s="125"/>
      <c r="C74" s="125">
        <v>55</v>
      </c>
      <c r="D74" s="125" t="s">
        <v>217</v>
      </c>
    </row>
    <row r="75" spans="1:4" x14ac:dyDescent="0.3">
      <c r="A75" s="125"/>
      <c r="B75" s="125"/>
      <c r="C75" s="125">
        <v>56</v>
      </c>
      <c r="D75" s="125" t="s">
        <v>218</v>
      </c>
    </row>
    <row r="76" spans="1:4" x14ac:dyDescent="0.3">
      <c r="A76" s="125"/>
      <c r="B76" s="125"/>
      <c r="C76" s="125">
        <v>57</v>
      </c>
      <c r="D76" s="125" t="s">
        <v>219</v>
      </c>
    </row>
    <row r="77" spans="1:4" x14ac:dyDescent="0.3">
      <c r="A77" s="125"/>
      <c r="B77" s="125"/>
      <c r="C77" s="125"/>
      <c r="D77" s="125"/>
    </row>
    <row r="78" spans="1:4" x14ac:dyDescent="0.3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3">
      <c r="A79" s="125"/>
      <c r="B79" s="125"/>
      <c r="C79" s="125">
        <v>59</v>
      </c>
      <c r="D79" s="125" t="s">
        <v>126</v>
      </c>
    </row>
    <row r="80" spans="1:4" x14ac:dyDescent="0.3">
      <c r="A80" s="125"/>
      <c r="B80" s="125"/>
      <c r="C80" s="125">
        <v>60</v>
      </c>
      <c r="D80" s="125" t="s">
        <v>222</v>
      </c>
    </row>
    <row r="81" spans="1:4" x14ac:dyDescent="0.3">
      <c r="A81" s="125"/>
      <c r="B81" s="125"/>
      <c r="C81" s="125">
        <v>61</v>
      </c>
      <c r="D81" s="125" t="s">
        <v>223</v>
      </c>
    </row>
    <row r="82" spans="1:4" x14ac:dyDescent="0.3">
      <c r="A82" s="125"/>
      <c r="B82" s="125"/>
      <c r="C82" s="125">
        <v>62</v>
      </c>
      <c r="D82" s="125" t="s">
        <v>224</v>
      </c>
    </row>
    <row r="83" spans="1:4" x14ac:dyDescent="0.3">
      <c r="A83" s="125"/>
      <c r="B83" s="125"/>
      <c r="C83" s="125">
        <v>63</v>
      </c>
      <c r="D83" s="125" t="s">
        <v>225</v>
      </c>
    </row>
    <row r="84" spans="1:4" x14ac:dyDescent="0.3">
      <c r="A84" s="125"/>
      <c r="B84" s="125"/>
      <c r="C84" s="125"/>
      <c r="D84" s="125"/>
    </row>
    <row r="85" spans="1:4" x14ac:dyDescent="0.3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3">
      <c r="A86" s="125"/>
      <c r="B86" s="125"/>
      <c r="C86" s="125"/>
      <c r="D86" s="125"/>
    </row>
    <row r="87" spans="1:4" x14ac:dyDescent="0.3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3">
      <c r="A88" s="125"/>
      <c r="B88" s="125"/>
      <c r="C88" s="125"/>
      <c r="D88" s="125"/>
    </row>
    <row r="89" spans="1:4" x14ac:dyDescent="0.3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3">
      <c r="A90" s="125"/>
      <c r="B90" s="125"/>
      <c r="C90" s="125">
        <v>67</v>
      </c>
      <c r="D90" s="125" t="s">
        <v>229</v>
      </c>
    </row>
    <row r="91" spans="1:4" x14ac:dyDescent="0.3">
      <c r="A91" s="125"/>
      <c r="B91" s="125"/>
      <c r="C91" s="125">
        <v>68</v>
      </c>
      <c r="D91" s="125" t="s">
        <v>230</v>
      </c>
    </row>
    <row r="92" spans="1:4" x14ac:dyDescent="0.3">
      <c r="A92" s="125"/>
      <c r="B92" s="125"/>
      <c r="C92" s="125"/>
      <c r="D92" s="125"/>
    </row>
    <row r="93" spans="1:4" x14ac:dyDescent="0.3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3">
      <c r="A94" s="125"/>
      <c r="B94" s="125"/>
      <c r="C94" s="125">
        <v>70</v>
      </c>
      <c r="D94" s="125" t="s">
        <v>232</v>
      </c>
    </row>
    <row r="95" spans="1:4" x14ac:dyDescent="0.3">
      <c r="A95" s="125"/>
      <c r="B95" s="125"/>
      <c r="C95" s="125">
        <v>71</v>
      </c>
      <c r="D95" s="125" t="s">
        <v>233</v>
      </c>
    </row>
    <row r="96" spans="1:4" x14ac:dyDescent="0.3">
      <c r="A96" s="125"/>
      <c r="B96" s="125"/>
      <c r="C96" s="125">
        <v>72</v>
      </c>
      <c r="D96" s="125" t="s">
        <v>234</v>
      </c>
    </row>
    <row r="97" spans="1:4" x14ac:dyDescent="0.3">
      <c r="A97" s="125"/>
      <c r="B97" s="125"/>
      <c r="C97" s="125"/>
      <c r="D97" s="125"/>
    </row>
    <row r="98" spans="1:4" x14ac:dyDescent="0.3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3">
      <c r="A99" s="125"/>
      <c r="B99" s="125"/>
      <c r="C99" s="125">
        <v>74</v>
      </c>
      <c r="D99" s="125" t="s">
        <v>236</v>
      </c>
    </row>
    <row r="100" spans="1:4" x14ac:dyDescent="0.3">
      <c r="A100" s="125"/>
      <c r="B100" s="125"/>
      <c r="C100" s="125">
        <v>75</v>
      </c>
      <c r="D100" s="125" t="s">
        <v>237</v>
      </c>
    </row>
    <row r="101" spans="1:4" x14ac:dyDescent="0.3">
      <c r="A101"/>
      <c r="B101"/>
      <c r="D101"/>
    </row>
    <row r="102" spans="1:4" x14ac:dyDescent="0.3">
      <c r="A102" s="16" t="s">
        <v>238</v>
      </c>
      <c r="D102"/>
    </row>
    <row r="103" spans="1:4" x14ac:dyDescent="0.3">
      <c r="D103"/>
    </row>
    <row r="104" spans="1:4" x14ac:dyDescent="0.3">
      <c r="A104" s="10"/>
      <c r="B104" s="125" t="s">
        <v>350</v>
      </c>
      <c r="C104" s="10"/>
      <c r="D104" s="125" t="s">
        <v>349</v>
      </c>
    </row>
    <row r="105" spans="1:4" x14ac:dyDescent="0.3">
      <c r="A105" s="10"/>
      <c r="B105" s="10"/>
      <c r="C105" s="10"/>
      <c r="D105" s="10"/>
    </row>
    <row r="106" spans="1:4" x14ac:dyDescent="0.3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3">
      <c r="A107" s="10"/>
      <c r="B107" s="10"/>
      <c r="C107" s="10">
        <v>2</v>
      </c>
      <c r="D107" s="10" t="s">
        <v>163</v>
      </c>
    </row>
    <row r="108" spans="1:4" x14ac:dyDescent="0.3">
      <c r="A108" s="10"/>
      <c r="B108" s="10"/>
      <c r="C108" s="10">
        <v>24</v>
      </c>
      <c r="D108" s="10" t="s">
        <v>183</v>
      </c>
    </row>
    <row r="109" spans="1:4" x14ac:dyDescent="0.3">
      <c r="A109" s="10"/>
      <c r="B109" s="10"/>
      <c r="C109" s="10">
        <v>25</v>
      </c>
      <c r="D109" s="10" t="s">
        <v>185</v>
      </c>
    </row>
    <row r="110" spans="1:4" x14ac:dyDescent="0.3">
      <c r="A110" s="10"/>
      <c r="B110" s="10"/>
      <c r="C110" s="10">
        <v>26</v>
      </c>
      <c r="D110" s="10" t="s">
        <v>186</v>
      </c>
    </row>
    <row r="111" spans="1:4" x14ac:dyDescent="0.3">
      <c r="A111" s="10"/>
      <c r="B111" s="10"/>
      <c r="C111" s="10">
        <v>27</v>
      </c>
      <c r="D111" s="10" t="s">
        <v>187</v>
      </c>
    </row>
    <row r="112" spans="1:4" x14ac:dyDescent="0.3">
      <c r="A112" s="10"/>
      <c r="B112" s="10"/>
      <c r="C112" s="10"/>
      <c r="D112" s="10"/>
    </row>
    <row r="113" spans="1:4" x14ac:dyDescent="0.3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3">
      <c r="A114" s="10"/>
      <c r="B114" s="10"/>
      <c r="C114" s="10">
        <v>4</v>
      </c>
      <c r="D114" s="10" t="s">
        <v>166</v>
      </c>
    </row>
    <row r="115" spans="1:4" x14ac:dyDescent="0.3">
      <c r="A115" s="10"/>
      <c r="B115" s="10"/>
      <c r="C115" s="10">
        <v>5</v>
      </c>
      <c r="D115" s="10" t="s">
        <v>169</v>
      </c>
    </row>
    <row r="116" spans="1:4" x14ac:dyDescent="0.3">
      <c r="A116" s="10"/>
      <c r="B116" s="10"/>
      <c r="C116" s="10">
        <v>6</v>
      </c>
      <c r="D116" s="10" t="s">
        <v>170</v>
      </c>
    </row>
    <row r="117" spans="1:4" x14ac:dyDescent="0.3">
      <c r="A117" s="10"/>
      <c r="B117" s="10"/>
      <c r="C117" s="10">
        <v>7</v>
      </c>
      <c r="D117" s="10" t="s">
        <v>171</v>
      </c>
    </row>
    <row r="118" spans="1:4" x14ac:dyDescent="0.3">
      <c r="A118" s="10"/>
      <c r="B118" s="10"/>
      <c r="C118" s="10">
        <v>8</v>
      </c>
      <c r="D118" s="10" t="s">
        <v>172</v>
      </c>
    </row>
    <row r="119" spans="1:4" x14ac:dyDescent="0.3">
      <c r="A119" s="10"/>
      <c r="B119" s="10"/>
      <c r="C119" s="10">
        <v>9</v>
      </c>
      <c r="D119" s="10" t="s">
        <v>173</v>
      </c>
    </row>
    <row r="120" spans="1:4" x14ac:dyDescent="0.3">
      <c r="A120" s="10"/>
      <c r="B120" s="10"/>
      <c r="C120" s="10">
        <v>10</v>
      </c>
      <c r="D120" s="10" t="s">
        <v>174</v>
      </c>
    </row>
    <row r="121" spans="1:4" x14ac:dyDescent="0.3">
      <c r="A121" s="10"/>
      <c r="B121" s="10"/>
      <c r="C121" s="10">
        <v>11</v>
      </c>
      <c r="D121" s="10" t="s">
        <v>64</v>
      </c>
    </row>
    <row r="122" spans="1:4" x14ac:dyDescent="0.3">
      <c r="A122" s="10"/>
      <c r="B122" s="10"/>
      <c r="C122" s="10">
        <v>12</v>
      </c>
      <c r="D122" s="10" t="s">
        <v>175</v>
      </c>
    </row>
    <row r="123" spans="1:4" x14ac:dyDescent="0.3">
      <c r="A123" s="10"/>
      <c r="B123" s="10"/>
      <c r="C123" s="10">
        <v>13</v>
      </c>
      <c r="D123" s="10" t="s">
        <v>176</v>
      </c>
    </row>
    <row r="124" spans="1:4" x14ac:dyDescent="0.3">
      <c r="A124" s="10"/>
      <c r="B124" s="10"/>
      <c r="C124" s="10">
        <v>14</v>
      </c>
      <c r="D124" s="10" t="s">
        <v>122</v>
      </c>
    </row>
    <row r="125" spans="1:4" x14ac:dyDescent="0.3">
      <c r="A125" s="10"/>
      <c r="B125" s="10"/>
      <c r="C125" s="10">
        <v>15</v>
      </c>
      <c r="D125" s="10" t="s">
        <v>123</v>
      </c>
    </row>
    <row r="126" spans="1:4" x14ac:dyDescent="0.3">
      <c r="A126" s="10"/>
      <c r="B126" s="10"/>
      <c r="C126" s="10">
        <v>16</v>
      </c>
      <c r="D126" s="10" t="s">
        <v>167</v>
      </c>
    </row>
    <row r="127" spans="1:4" x14ac:dyDescent="0.3">
      <c r="A127" s="10"/>
      <c r="B127" s="10"/>
      <c r="C127" s="10">
        <v>17</v>
      </c>
      <c r="D127" s="10" t="s">
        <v>89</v>
      </c>
    </row>
    <row r="128" spans="1:4" x14ac:dyDescent="0.3">
      <c r="A128" s="10"/>
      <c r="B128" s="10"/>
      <c r="C128" s="10">
        <v>18</v>
      </c>
      <c r="D128" s="10" t="s">
        <v>168</v>
      </c>
    </row>
    <row r="129" spans="1:4" x14ac:dyDescent="0.3">
      <c r="A129" s="10"/>
      <c r="B129" s="10"/>
      <c r="C129" s="10">
        <v>19</v>
      </c>
      <c r="D129" s="10" t="s">
        <v>177</v>
      </c>
    </row>
    <row r="130" spans="1:4" x14ac:dyDescent="0.3">
      <c r="A130" s="10"/>
      <c r="B130" s="10"/>
      <c r="C130" s="10">
        <v>20</v>
      </c>
      <c r="D130" s="10" t="s">
        <v>178</v>
      </c>
    </row>
    <row r="131" spans="1:4" x14ac:dyDescent="0.3">
      <c r="A131" s="10"/>
      <c r="B131" s="10"/>
      <c r="C131" s="10">
        <v>21</v>
      </c>
      <c r="D131" s="10" t="s">
        <v>179</v>
      </c>
    </row>
    <row r="132" spans="1:4" x14ac:dyDescent="0.3">
      <c r="A132" s="10"/>
      <c r="B132" s="10"/>
      <c r="C132" s="10">
        <v>22</v>
      </c>
      <c r="D132" s="10" t="s">
        <v>180</v>
      </c>
    </row>
    <row r="133" spans="1:4" x14ac:dyDescent="0.3">
      <c r="A133" s="10"/>
      <c r="B133" s="10"/>
      <c r="C133" s="10">
        <v>23</v>
      </c>
      <c r="D133" s="10" t="s">
        <v>181</v>
      </c>
    </row>
    <row r="134" spans="1:4" x14ac:dyDescent="0.3">
      <c r="A134" s="10"/>
      <c r="B134" s="10"/>
      <c r="C134" s="10"/>
      <c r="D134" s="10"/>
    </row>
    <row r="135" spans="1:4" x14ac:dyDescent="0.3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3">
      <c r="A136" s="10"/>
      <c r="B136" s="10"/>
      <c r="C136" s="10">
        <v>29</v>
      </c>
      <c r="D136" s="10" t="s">
        <v>189</v>
      </c>
    </row>
    <row r="137" spans="1:4" x14ac:dyDescent="0.3">
      <c r="A137" s="10"/>
      <c r="B137" s="10"/>
      <c r="C137" s="10">
        <v>30</v>
      </c>
      <c r="D137" s="10" t="s">
        <v>190</v>
      </c>
    </row>
    <row r="138" spans="1:4" x14ac:dyDescent="0.3">
      <c r="A138" s="10"/>
      <c r="B138" s="10"/>
      <c r="C138" s="10"/>
      <c r="D138" s="10"/>
    </row>
    <row r="139" spans="1:4" x14ac:dyDescent="0.3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3">
      <c r="A140" s="10"/>
      <c r="B140" s="10"/>
      <c r="C140" s="10">
        <v>32</v>
      </c>
      <c r="D140" s="10" t="s">
        <v>192</v>
      </c>
    </row>
    <row r="141" spans="1:4" x14ac:dyDescent="0.3">
      <c r="A141" s="10"/>
      <c r="B141" s="10"/>
      <c r="C141" s="10">
        <v>33</v>
      </c>
      <c r="D141" s="10" t="s">
        <v>193</v>
      </c>
    </row>
    <row r="142" spans="1:4" x14ac:dyDescent="0.3">
      <c r="A142" s="10"/>
      <c r="B142" s="10"/>
      <c r="C142" s="10">
        <v>34</v>
      </c>
      <c r="D142" s="10" t="s">
        <v>195</v>
      </c>
    </row>
    <row r="143" spans="1:4" x14ac:dyDescent="0.3">
      <c r="A143" s="10"/>
      <c r="B143" s="10"/>
      <c r="C143" s="10">
        <v>35</v>
      </c>
      <c r="D143" s="10" t="s">
        <v>196</v>
      </c>
    </row>
    <row r="144" spans="1:4" x14ac:dyDescent="0.3">
      <c r="A144" s="10"/>
      <c r="B144" s="10"/>
      <c r="C144" s="10">
        <v>36</v>
      </c>
      <c r="D144" s="10" t="s">
        <v>197</v>
      </c>
    </row>
    <row r="145" spans="1:4" x14ac:dyDescent="0.3">
      <c r="A145" s="10"/>
      <c r="B145" s="10"/>
      <c r="C145" s="10">
        <v>37</v>
      </c>
      <c r="D145" s="10" t="s">
        <v>198</v>
      </c>
    </row>
    <row r="146" spans="1:4" x14ac:dyDescent="0.3">
      <c r="A146" s="10"/>
      <c r="B146" s="10"/>
      <c r="C146" s="10">
        <v>38</v>
      </c>
      <c r="D146" s="10" t="s">
        <v>199</v>
      </c>
    </row>
    <row r="147" spans="1:4" x14ac:dyDescent="0.3">
      <c r="A147" s="10"/>
      <c r="B147" s="10"/>
      <c r="C147" s="10">
        <v>39</v>
      </c>
      <c r="D147" s="10" t="s">
        <v>201</v>
      </c>
    </row>
    <row r="148" spans="1:4" x14ac:dyDescent="0.3">
      <c r="A148" s="10"/>
      <c r="B148" s="10"/>
      <c r="C148" s="10">
        <v>40</v>
      </c>
      <c r="D148" s="10" t="s">
        <v>202</v>
      </c>
    </row>
    <row r="149" spans="1:4" x14ac:dyDescent="0.3">
      <c r="A149" s="10"/>
      <c r="B149" s="10"/>
      <c r="C149" s="10"/>
      <c r="D149" s="10"/>
    </row>
    <row r="150" spans="1:4" x14ac:dyDescent="0.3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3">
      <c r="A151" s="10"/>
      <c r="B151" s="10"/>
      <c r="C151" s="10">
        <v>42</v>
      </c>
      <c r="D151" s="10" t="s">
        <v>203</v>
      </c>
    </row>
    <row r="152" spans="1:4" x14ac:dyDescent="0.3">
      <c r="A152" s="10"/>
      <c r="B152" s="10"/>
      <c r="C152" s="10">
        <v>43</v>
      </c>
      <c r="D152" s="10" t="s">
        <v>204</v>
      </c>
    </row>
    <row r="153" spans="1:4" x14ac:dyDescent="0.3">
      <c r="A153" s="10"/>
      <c r="B153" s="10"/>
      <c r="C153" s="10">
        <v>44</v>
      </c>
      <c r="D153" s="10" t="s">
        <v>92</v>
      </c>
    </row>
    <row r="154" spans="1:4" x14ac:dyDescent="0.3">
      <c r="A154" s="10"/>
      <c r="B154" s="10"/>
      <c r="C154" s="10">
        <v>45</v>
      </c>
      <c r="D154" s="10" t="s">
        <v>206</v>
      </c>
    </row>
    <row r="155" spans="1:4" x14ac:dyDescent="0.3">
      <c r="A155" s="10"/>
      <c r="B155" s="10"/>
      <c r="C155" s="10">
        <v>46</v>
      </c>
      <c r="D155" s="10" t="s">
        <v>207</v>
      </c>
    </row>
    <row r="156" spans="1:4" x14ac:dyDescent="0.3">
      <c r="A156" s="10"/>
      <c r="B156" s="10"/>
      <c r="C156" s="10">
        <v>47</v>
      </c>
      <c r="D156" s="10" t="s">
        <v>125</v>
      </c>
    </row>
    <row r="157" spans="1:4" x14ac:dyDescent="0.3">
      <c r="A157" s="10"/>
      <c r="B157" s="10"/>
      <c r="C157" s="10">
        <v>48</v>
      </c>
      <c r="D157" s="10" t="s">
        <v>209</v>
      </c>
    </row>
    <row r="158" spans="1:4" x14ac:dyDescent="0.3">
      <c r="A158" s="10"/>
      <c r="B158" s="10"/>
      <c r="C158" s="10">
        <v>49</v>
      </c>
      <c r="D158" s="10" t="s">
        <v>210</v>
      </c>
    </row>
    <row r="159" spans="1:4" x14ac:dyDescent="0.3">
      <c r="A159" s="10"/>
      <c r="B159" s="10"/>
      <c r="C159" s="10">
        <v>50</v>
      </c>
      <c r="D159" s="10" t="s">
        <v>211</v>
      </c>
    </row>
    <row r="160" spans="1:4" x14ac:dyDescent="0.3">
      <c r="A160" s="10"/>
      <c r="B160" s="10"/>
      <c r="C160" s="10">
        <v>51</v>
      </c>
      <c r="D160" s="10" t="s">
        <v>213</v>
      </c>
    </row>
    <row r="161" spans="1:4" x14ac:dyDescent="0.3">
      <c r="A161" s="10"/>
      <c r="B161" s="10"/>
      <c r="C161" s="10">
        <v>52</v>
      </c>
      <c r="D161" s="10" t="s">
        <v>214</v>
      </c>
    </row>
    <row r="162" spans="1:4" x14ac:dyDescent="0.3">
      <c r="A162" s="10"/>
      <c r="B162" s="10"/>
      <c r="C162" s="10">
        <v>53</v>
      </c>
      <c r="D162" s="10" t="s">
        <v>215</v>
      </c>
    </row>
    <row r="163" spans="1:4" x14ac:dyDescent="0.3">
      <c r="A163" s="10"/>
      <c r="B163" s="10"/>
      <c r="C163" s="10">
        <v>54</v>
      </c>
      <c r="D163" s="10" t="s">
        <v>216</v>
      </c>
    </row>
    <row r="164" spans="1:4" x14ac:dyDescent="0.3">
      <c r="A164" s="10"/>
      <c r="B164" s="10"/>
      <c r="C164" s="10">
        <v>55</v>
      </c>
      <c r="D164" s="10" t="s">
        <v>217</v>
      </c>
    </row>
    <row r="165" spans="1:4" x14ac:dyDescent="0.3">
      <c r="A165" s="10"/>
      <c r="B165" s="10"/>
      <c r="C165" s="10">
        <v>56</v>
      </c>
      <c r="D165" s="10" t="s">
        <v>218</v>
      </c>
    </row>
    <row r="166" spans="1:4" x14ac:dyDescent="0.3">
      <c r="A166" s="10"/>
      <c r="B166" s="10"/>
      <c r="C166" s="10">
        <v>57</v>
      </c>
      <c r="D166" s="10" t="s">
        <v>219</v>
      </c>
    </row>
    <row r="167" spans="1:4" x14ac:dyDescent="0.3">
      <c r="A167" s="10"/>
      <c r="B167" s="10"/>
      <c r="C167" s="10">
        <v>58</v>
      </c>
      <c r="D167" s="10" t="s">
        <v>221</v>
      </c>
    </row>
    <row r="168" spans="1:4" x14ac:dyDescent="0.3">
      <c r="A168" s="10"/>
      <c r="B168" s="10"/>
      <c r="C168" s="10">
        <v>59</v>
      </c>
      <c r="D168" s="10" t="s">
        <v>126</v>
      </c>
    </row>
    <row r="169" spans="1:4" x14ac:dyDescent="0.3">
      <c r="A169" s="10"/>
      <c r="B169" s="10"/>
      <c r="C169" s="10">
        <v>60</v>
      </c>
      <c r="D169" s="10" t="s">
        <v>222</v>
      </c>
    </row>
    <row r="170" spans="1:4" x14ac:dyDescent="0.3">
      <c r="A170" s="10"/>
      <c r="B170" s="10"/>
      <c r="C170" s="10">
        <v>61</v>
      </c>
      <c r="D170" s="10" t="s">
        <v>223</v>
      </c>
    </row>
    <row r="171" spans="1:4" x14ac:dyDescent="0.3">
      <c r="A171" s="10"/>
      <c r="B171" s="10"/>
      <c r="C171" s="10">
        <v>62</v>
      </c>
      <c r="D171" s="10" t="s">
        <v>224</v>
      </c>
    </row>
    <row r="172" spans="1:4" x14ac:dyDescent="0.3">
      <c r="A172" s="10"/>
      <c r="B172" s="10"/>
      <c r="C172" s="10">
        <v>63</v>
      </c>
      <c r="D172" s="10" t="s">
        <v>225</v>
      </c>
    </row>
    <row r="173" spans="1:4" x14ac:dyDescent="0.3">
      <c r="A173" s="10"/>
      <c r="B173" s="10"/>
      <c r="C173" s="10">
        <v>69</v>
      </c>
      <c r="D173" s="10" t="s">
        <v>231</v>
      </c>
    </row>
    <row r="174" spans="1:4" x14ac:dyDescent="0.3">
      <c r="A174" s="10"/>
      <c r="B174" s="10"/>
      <c r="C174" s="10">
        <v>70</v>
      </c>
      <c r="D174" s="10" t="s">
        <v>232</v>
      </c>
    </row>
    <row r="175" spans="1:4" x14ac:dyDescent="0.3">
      <c r="A175" s="10"/>
      <c r="B175" s="10"/>
      <c r="C175" s="10">
        <v>71</v>
      </c>
      <c r="D175" s="10" t="s">
        <v>233</v>
      </c>
    </row>
    <row r="176" spans="1:4" x14ac:dyDescent="0.3">
      <c r="A176" s="10"/>
      <c r="B176" s="10"/>
      <c r="C176" s="10">
        <v>72</v>
      </c>
      <c r="D176" s="10" t="s">
        <v>234</v>
      </c>
    </row>
    <row r="177" spans="1:6" x14ac:dyDescent="0.3">
      <c r="A177" s="10"/>
      <c r="B177" s="10"/>
      <c r="C177" s="10">
        <v>73</v>
      </c>
      <c r="D177" s="10" t="s">
        <v>127</v>
      </c>
    </row>
    <row r="178" spans="1:6" x14ac:dyDescent="0.3">
      <c r="A178" s="10"/>
      <c r="B178" s="10"/>
      <c r="C178" s="10">
        <v>74</v>
      </c>
      <c r="D178" s="10" t="s">
        <v>236</v>
      </c>
    </row>
    <row r="179" spans="1:6" x14ac:dyDescent="0.3">
      <c r="A179" s="10"/>
      <c r="B179" s="10"/>
      <c r="C179" s="10">
        <v>75</v>
      </c>
      <c r="D179" s="10" t="s">
        <v>237</v>
      </c>
    </row>
    <row r="180" spans="1:6" x14ac:dyDescent="0.3">
      <c r="A180" s="10"/>
      <c r="B180" s="10"/>
      <c r="C180" s="10"/>
      <c r="D180" s="10"/>
    </row>
    <row r="181" spans="1:6" x14ac:dyDescent="0.3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3">
      <c r="A182" s="10"/>
      <c r="B182" s="10"/>
      <c r="C182" s="10">
        <v>65</v>
      </c>
      <c r="D182" s="10" t="s">
        <v>66</v>
      </c>
    </row>
    <row r="183" spans="1:6" x14ac:dyDescent="0.3">
      <c r="A183" s="10"/>
      <c r="B183" s="10"/>
      <c r="C183" s="10">
        <v>66</v>
      </c>
      <c r="D183" s="10" t="s">
        <v>228</v>
      </c>
    </row>
    <row r="184" spans="1:6" x14ac:dyDescent="0.3">
      <c r="A184" s="10"/>
      <c r="B184" s="10"/>
      <c r="C184" s="10">
        <v>67</v>
      </c>
      <c r="D184" s="10" t="s">
        <v>229</v>
      </c>
    </row>
    <row r="185" spans="1:6" x14ac:dyDescent="0.3">
      <c r="A185" s="10"/>
      <c r="B185" s="10"/>
      <c r="C185" s="10">
        <v>68</v>
      </c>
      <c r="D185" s="10" t="s">
        <v>230</v>
      </c>
    </row>
    <row r="186" spans="1:6" x14ac:dyDescent="0.3">
      <c r="A186"/>
      <c r="B186"/>
      <c r="D186"/>
    </row>
    <row r="187" spans="1:6" x14ac:dyDescent="0.3">
      <c r="A187" s="14" t="s">
        <v>505</v>
      </c>
      <c r="C187" s="125"/>
      <c r="D187" s="125"/>
    </row>
    <row r="188" spans="1:6" x14ac:dyDescent="0.3">
      <c r="A188" s="88" t="s">
        <v>11</v>
      </c>
      <c r="C188" s="125"/>
      <c r="D188" s="125"/>
    </row>
    <row r="189" spans="1:6" x14ac:dyDescent="0.3">
      <c r="A189" s="88" t="s">
        <v>11</v>
      </c>
      <c r="C189" s="125"/>
      <c r="D189" s="125"/>
    </row>
    <row r="190" spans="1:6" x14ac:dyDescent="0.3">
      <c r="B190" s="88" t="s">
        <v>506</v>
      </c>
      <c r="D190" s="88" t="s">
        <v>521</v>
      </c>
    </row>
    <row r="191" spans="1:6" x14ac:dyDescent="0.3">
      <c r="A191" s="88" t="s">
        <v>11</v>
      </c>
    </row>
    <row r="192" spans="1:6" x14ac:dyDescent="0.3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3">
      <c r="C193" s="88">
        <v>2</v>
      </c>
      <c r="D193" s="125" t="s">
        <v>476</v>
      </c>
      <c r="F193" s="125"/>
    </row>
    <row r="194" spans="1:6" x14ac:dyDescent="0.3">
      <c r="D194" s="125"/>
      <c r="F194" s="125"/>
    </row>
    <row r="195" spans="1:6" x14ac:dyDescent="0.3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3">
      <c r="C196" s="88">
        <v>4</v>
      </c>
      <c r="D196" s="125" t="s">
        <v>479</v>
      </c>
      <c r="F196" s="125"/>
    </row>
    <row r="197" spans="1:6" x14ac:dyDescent="0.3">
      <c r="C197" s="88">
        <v>5</v>
      </c>
      <c r="D197" s="125" t="s">
        <v>481</v>
      </c>
      <c r="F197" s="125"/>
    </row>
    <row r="198" spans="1:6" x14ac:dyDescent="0.3">
      <c r="C198" s="88">
        <v>6</v>
      </c>
      <c r="D198" s="125" t="s">
        <v>482</v>
      </c>
      <c r="F198" s="125"/>
    </row>
    <row r="199" spans="1:6" x14ac:dyDescent="0.3">
      <c r="B199" s="125"/>
      <c r="D199" s="125"/>
      <c r="F199" s="125"/>
    </row>
    <row r="200" spans="1:6" x14ac:dyDescent="0.3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3">
      <c r="C201" s="88">
        <v>8</v>
      </c>
      <c r="D201" s="125" t="s">
        <v>486</v>
      </c>
      <c r="F201" s="125"/>
    </row>
    <row r="202" spans="1:6" x14ac:dyDescent="0.3">
      <c r="C202" s="88">
        <v>9</v>
      </c>
      <c r="D202" s="125" t="s">
        <v>487</v>
      </c>
      <c r="F202" s="125"/>
    </row>
    <row r="203" spans="1:6" x14ac:dyDescent="0.3">
      <c r="C203" s="88">
        <v>10</v>
      </c>
      <c r="D203" s="125" t="s">
        <v>488</v>
      </c>
      <c r="F203" s="125"/>
    </row>
    <row r="204" spans="1:6" x14ac:dyDescent="0.3">
      <c r="C204" s="88">
        <v>11</v>
      </c>
      <c r="D204" s="125" t="s">
        <v>489</v>
      </c>
      <c r="F204" s="125"/>
    </row>
    <row r="205" spans="1:6" x14ac:dyDescent="0.3">
      <c r="D205" s="125"/>
      <c r="F205" s="125"/>
    </row>
    <row r="206" spans="1:6" x14ac:dyDescent="0.3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3">
      <c r="C207" s="88">
        <v>13</v>
      </c>
      <c r="D207" s="125" t="s">
        <v>491</v>
      </c>
      <c r="F207" s="125"/>
    </row>
    <row r="208" spans="1:6" x14ac:dyDescent="0.3">
      <c r="D208"/>
      <c r="F208" s="125"/>
    </row>
    <row r="209" spans="1:6" x14ac:dyDescent="0.3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3">
      <c r="C210" s="88">
        <v>15</v>
      </c>
      <c r="D210" s="125" t="s">
        <v>493</v>
      </c>
      <c r="F210" s="125"/>
    </row>
    <row r="211" spans="1:6" x14ac:dyDescent="0.3">
      <c r="C211" s="88">
        <v>16</v>
      </c>
      <c r="D211" s="125" t="s">
        <v>494</v>
      </c>
      <c r="F211" s="125"/>
    </row>
    <row r="212" spans="1:6" x14ac:dyDescent="0.3">
      <c r="C212" s="88">
        <v>17</v>
      </c>
      <c r="D212" s="125" t="s">
        <v>495</v>
      </c>
      <c r="F212" s="125"/>
    </row>
    <row r="213" spans="1:6" x14ac:dyDescent="0.3">
      <c r="D213"/>
      <c r="F213" s="125"/>
    </row>
    <row r="214" spans="1:6" x14ac:dyDescent="0.3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3">
      <c r="C215" s="88">
        <v>19</v>
      </c>
      <c r="D215" s="125" t="s">
        <v>497</v>
      </c>
      <c r="F215" s="125"/>
    </row>
    <row r="216" spans="1:6" x14ac:dyDescent="0.3">
      <c r="C216" s="88">
        <v>20</v>
      </c>
      <c r="D216" s="125" t="s">
        <v>498</v>
      </c>
      <c r="F216" s="125"/>
    </row>
    <row r="217" spans="1:6" x14ac:dyDescent="0.3">
      <c r="F217" s="125"/>
    </row>
    <row r="218" spans="1:6" x14ac:dyDescent="0.3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3">
      <c r="C219" s="88">
        <v>22</v>
      </c>
      <c r="D219" s="125" t="s">
        <v>500</v>
      </c>
    </row>
    <row r="220" spans="1:6" x14ac:dyDescent="0.3">
      <c r="D220" s="125"/>
    </row>
    <row r="221" spans="1:6" x14ac:dyDescent="0.3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3">
      <c r="C222" s="88">
        <v>24</v>
      </c>
      <c r="D222" s="125" t="s">
        <v>502</v>
      </c>
    </row>
    <row r="223" spans="1:6" ht="12" customHeight="1" x14ac:dyDescent="0.3"/>
    <row r="224" spans="1:6" x14ac:dyDescent="0.3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3">
      <c r="C225" s="88">
        <v>26</v>
      </c>
      <c r="D225" t="s">
        <v>504</v>
      </c>
    </row>
    <row r="226" spans="1:4" x14ac:dyDescent="0.3">
      <c r="B226"/>
      <c r="D226"/>
    </row>
    <row r="227" spans="1:4" x14ac:dyDescent="0.3">
      <c r="A227" s="14" t="s">
        <v>351</v>
      </c>
      <c r="D227"/>
    </row>
    <row r="228" spans="1:4" x14ac:dyDescent="0.3">
      <c r="D228"/>
    </row>
    <row r="229" spans="1:4" x14ac:dyDescent="0.3">
      <c r="B229" s="88" t="s">
        <v>460</v>
      </c>
      <c r="D229" s="88" t="s">
        <v>461</v>
      </c>
    </row>
    <row r="231" spans="1:4" x14ac:dyDescent="0.3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3">
      <c r="C232" s="88">
        <v>2</v>
      </c>
      <c r="D232" s="125" t="s">
        <v>451</v>
      </c>
    </row>
    <row r="234" spans="1:4" x14ac:dyDescent="0.3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3">
      <c r="C235" s="88">
        <v>4</v>
      </c>
      <c r="D235" s="125" t="s">
        <v>453</v>
      </c>
    </row>
    <row r="236" spans="1:4" x14ac:dyDescent="0.3">
      <c r="C236" s="88">
        <v>5</v>
      </c>
      <c r="D236" s="125" t="s">
        <v>454</v>
      </c>
    </row>
    <row r="238" spans="1:4" x14ac:dyDescent="0.3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3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3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3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382650-A680-44E4-9AD6-09A2007C6C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2C89F21-3FA6-426B-A218-B8ECBC0D0B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KAPUR, Rohan</cp:lastModifiedBy>
  <cp:lastPrinted>2019-03-05T13:17:01Z</cp:lastPrinted>
  <dcterms:created xsi:type="dcterms:W3CDTF">2006-08-30T09:48:05Z</dcterms:created>
  <dcterms:modified xsi:type="dcterms:W3CDTF">2024-06-25T08:45:16Z</dcterms:modified>
</cp:coreProperties>
</file>